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mc:AlternateContent xmlns:mc="http://schemas.openxmlformats.org/markup-compatibility/2006">
    <mc:Choice Requires="x15">
      <x15ac:absPath xmlns:x15ac="http://schemas.microsoft.com/office/spreadsheetml/2010/11/ac" url="C:\Users\Owner\Documents\naccrra 2011\CED 2013\Coronavirus Emergency\New Jersey\Pre-K NJ\NJDOE Documents\"/>
    </mc:Choice>
  </mc:AlternateContent>
  <xr:revisionPtr revIDLastSave="0" documentId="8_{427BAD4F-871C-4FAC-B6CD-A795A6A41CFC}" xr6:coauthVersionLast="47" xr6:coauthVersionMax="47" xr10:uidLastSave="{00000000-0000-0000-0000-000000000000}"/>
  <bookViews>
    <workbookView xWindow="-103" yWindow="-103" windowWidth="26537" windowHeight="15943" tabRatio="847" activeTab="3" xr2:uid="{00000000-000D-0000-FFFF-FFFF00000000}"/>
  </bookViews>
  <sheets>
    <sheet name="CACFP Worksheet" sheetId="14" r:id="rId1"/>
    <sheet name="Director Salary Scale" sheetId="19" r:id="rId2"/>
    <sheet name="Schedule A Personnel" sheetId="13" r:id="rId3"/>
    <sheet name="Provider Planning Budget" sheetId="29" r:id="rId4"/>
    <sheet name="Provider Statement of Assurance" sheetId="28" r:id="rId5"/>
  </sheets>
  <definedNames>
    <definedName name="_Toc525550260" localSheetId="4">'Provider Statement of Assurance'!$A$1</definedName>
    <definedName name="_xlnm.Print_Area" localSheetId="3">'Provider Planning Budget'!$A$1:$I$111</definedName>
    <definedName name="_xlnm.Print_Area" localSheetId="2">'Schedule A Personnel'!$A$1:$H$33</definedName>
    <definedName name="test_Data_Enrollment_Summarizes_Data" localSheetId="1">#REF!</definedName>
    <definedName name="test_Data_Enrollment_Summarizes_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7" i="19" l="1"/>
  <c r="F67" i="19"/>
  <c r="E67" i="19"/>
  <c r="G66" i="19"/>
  <c r="F66" i="19"/>
  <c r="E66" i="19"/>
  <c r="G65" i="19"/>
  <c r="F65" i="19"/>
  <c r="E65" i="19"/>
  <c r="G63" i="19"/>
  <c r="F63" i="19"/>
  <c r="E63" i="19"/>
  <c r="G62" i="19"/>
  <c r="F62" i="19"/>
  <c r="E62" i="19"/>
  <c r="G61" i="19"/>
  <c r="F61" i="19"/>
  <c r="E61" i="19"/>
  <c r="G60" i="19"/>
  <c r="F60" i="19"/>
  <c r="E60" i="19"/>
  <c r="G59" i="19"/>
  <c r="F59" i="19"/>
  <c r="E59" i="19"/>
  <c r="G58" i="19"/>
  <c r="F58" i="19"/>
  <c r="E58" i="19"/>
  <c r="G57" i="19"/>
  <c r="F57" i="19"/>
  <c r="E57" i="19"/>
  <c r="G56" i="19"/>
  <c r="F56" i="19"/>
  <c r="E56" i="19"/>
  <c r="G55" i="19"/>
  <c r="F55" i="19"/>
  <c r="E55" i="19"/>
  <c r="G52" i="19"/>
  <c r="F52" i="19"/>
  <c r="E52" i="19"/>
  <c r="G51" i="19"/>
  <c r="F51" i="19"/>
  <c r="E51" i="19"/>
  <c r="G50" i="19"/>
  <c r="F50" i="19"/>
  <c r="E50" i="19" l="1"/>
  <c r="G48" i="19"/>
  <c r="F48" i="19"/>
  <c r="E48" i="19" l="1"/>
  <c r="G47" i="19"/>
  <c r="F47" i="19"/>
  <c r="E47" i="19"/>
  <c r="G46" i="19"/>
  <c r="F46" i="19"/>
  <c r="E46" i="19"/>
  <c r="G45" i="19"/>
  <c r="F45" i="19"/>
  <c r="E45" i="19"/>
  <c r="G44" i="19"/>
  <c r="F44" i="19"/>
  <c r="E44" i="19"/>
  <c r="G43" i="19"/>
  <c r="F43" i="19"/>
  <c r="E43" i="19"/>
  <c r="G42" i="19"/>
  <c r="F42" i="19"/>
  <c r="E42" i="19"/>
  <c r="G41" i="19"/>
  <c r="F41" i="19"/>
  <c r="E41" i="19"/>
  <c r="G40" i="19"/>
  <c r="F40" i="19"/>
  <c r="E40" i="19"/>
  <c r="G37" i="19"/>
  <c r="F37" i="19"/>
  <c r="E37" i="19"/>
  <c r="D37" i="19"/>
  <c r="G36" i="19"/>
  <c r="F36" i="19"/>
  <c r="E36" i="19"/>
  <c r="G35" i="19"/>
  <c r="F35" i="19"/>
  <c r="E35" i="19"/>
  <c r="G33" i="19"/>
  <c r="F33" i="19"/>
  <c r="E33" i="19"/>
  <c r="G32" i="19"/>
  <c r="F32" i="19"/>
  <c r="E32" i="19"/>
  <c r="G31" i="19"/>
  <c r="F31" i="19"/>
  <c r="E31" i="19"/>
  <c r="G30" i="19"/>
  <c r="F30" i="19"/>
  <c r="E30" i="19"/>
  <c r="G29" i="19"/>
  <c r="F29" i="19"/>
  <c r="E29" i="19"/>
  <c r="G28" i="19"/>
  <c r="F28" i="19"/>
  <c r="E28" i="19"/>
  <c r="G27" i="19"/>
  <c r="F27" i="19"/>
  <c r="E27" i="19"/>
  <c r="E26" i="19"/>
  <c r="G26" i="19"/>
  <c r="F26" i="19"/>
  <c r="G25" i="19" l="1"/>
  <c r="F25" i="19"/>
  <c r="E25" i="19"/>
  <c r="D67" i="19"/>
  <c r="D66" i="19"/>
  <c r="D65" i="19"/>
  <c r="D52" i="19"/>
  <c r="D51" i="19"/>
  <c r="D50" i="19"/>
  <c r="D48" i="19"/>
  <c r="D63" i="19"/>
  <c r="D62" i="19"/>
  <c r="D61" i="19"/>
  <c r="D60" i="19"/>
  <c r="D59" i="19"/>
  <c r="D58" i="19"/>
  <c r="D57" i="19"/>
  <c r="D56" i="19"/>
  <c r="D55" i="19"/>
  <c r="D47" i="19"/>
  <c r="D46" i="19"/>
  <c r="D45" i="19"/>
  <c r="D44" i="19"/>
  <c r="D43" i="19"/>
  <c r="D42" i="19"/>
  <c r="D41" i="19"/>
  <c r="D40" i="19"/>
  <c r="D36" i="19"/>
  <c r="D35" i="19"/>
  <c r="D33" i="19"/>
  <c r="D32" i="19"/>
  <c r="D31" i="19"/>
  <c r="D30" i="19"/>
  <c r="D29" i="19"/>
  <c r="D28" i="19"/>
  <c r="D27" i="19"/>
  <c r="D25" i="19"/>
  <c r="D26" i="19" l="1"/>
  <c r="F3" i="13" l="1"/>
  <c r="H5" i="29" s="1"/>
  <c r="B3" i="13"/>
  <c r="H4" i="29" s="1"/>
  <c r="H18" i="13" l="1"/>
  <c r="H17" i="13"/>
  <c r="G41" i="29" l="1"/>
  <c r="G40" i="29"/>
  <c r="G39" i="29"/>
  <c r="G38" i="29"/>
  <c r="G54" i="29"/>
  <c r="F33" i="29"/>
  <c r="F32" i="29" l="1"/>
  <c r="E12" i="29" l="1"/>
  <c r="D18" i="29"/>
  <c r="D25" i="29" s="1"/>
  <c r="F18" i="29"/>
  <c r="D20" i="29"/>
  <c r="F20" i="29"/>
  <c r="F21" i="29"/>
  <c r="H21" i="29" s="1"/>
  <c r="F23" i="29"/>
  <c r="H23" i="29" s="1"/>
  <c r="F25" i="29"/>
  <c r="F26" i="29"/>
  <c r="D28" i="29"/>
  <c r="F28" i="29"/>
  <c r="D29" i="29"/>
  <c r="F29" i="29"/>
  <c r="D30" i="29"/>
  <c r="H30" i="29" s="1"/>
  <c r="D32" i="29"/>
  <c r="H32" i="29" s="1"/>
  <c r="H33" i="29"/>
  <c r="G55" i="29"/>
  <c r="G56" i="29"/>
  <c r="G57" i="29"/>
  <c r="G58" i="29"/>
  <c r="G59" i="29"/>
  <c r="G60" i="29"/>
  <c r="G61" i="29"/>
  <c r="G69" i="29"/>
  <c r="G73" i="29"/>
  <c r="G74" i="29"/>
  <c r="G75" i="29"/>
  <c r="G76" i="29"/>
  <c r="G77" i="29"/>
  <c r="G78" i="29"/>
  <c r="F79" i="29"/>
  <c r="G79" i="29"/>
  <c r="G80" i="29"/>
  <c r="G81" i="29"/>
  <c r="G82" i="29"/>
  <c r="G83" i="29"/>
  <c r="G84" i="29"/>
  <c r="G85" i="29"/>
  <c r="G86" i="29"/>
  <c r="H87" i="29"/>
  <c r="I96" i="29"/>
  <c r="B2" i="19"/>
  <c r="F2" i="19"/>
  <c r="H12" i="19"/>
  <c r="C32" i="14"/>
  <c r="D32" i="14"/>
  <c r="C33" i="14"/>
  <c r="D33" i="14"/>
  <c r="C34" i="14"/>
  <c r="D34" i="14"/>
  <c r="C39" i="14"/>
  <c r="D39" i="14"/>
  <c r="C40" i="14"/>
  <c r="D40" i="14"/>
  <c r="C41" i="14"/>
  <c r="D41" i="14"/>
  <c r="H29" i="29" l="1"/>
  <c r="H20" i="29"/>
  <c r="E32" i="14"/>
  <c r="E39" i="14"/>
  <c r="F74" i="29"/>
  <c r="H74" i="29" s="1"/>
  <c r="F69" i="29"/>
  <c r="H69" i="29" s="1"/>
  <c r="F85" i="29"/>
  <c r="H85" i="29" s="1"/>
  <c r="E34" i="14"/>
  <c r="F81" i="29"/>
  <c r="H81" i="29" s="1"/>
  <c r="E41" i="14"/>
  <c r="E40" i="14"/>
  <c r="E33" i="14"/>
  <c r="F77" i="29"/>
  <c r="H77" i="29" s="1"/>
  <c r="H28" i="29"/>
  <c r="H79" i="29"/>
  <c r="H25" i="29"/>
  <c r="D26" i="29"/>
  <c r="H26" i="29" s="1"/>
  <c r="F75" i="29"/>
  <c r="H75" i="29" s="1"/>
  <c r="F55" i="29"/>
  <c r="H55" i="29" s="1"/>
  <c r="F58" i="29"/>
  <c r="H58" i="29" s="1"/>
  <c r="F39" i="29"/>
  <c r="H39" i="29" s="1"/>
  <c r="F59" i="29"/>
  <c r="H59" i="29" s="1"/>
  <c r="F54" i="29"/>
  <c r="H54" i="29" s="1"/>
  <c r="F38" i="29"/>
  <c r="H38" i="29" s="1"/>
  <c r="F60" i="29"/>
  <c r="H60" i="29" s="1"/>
  <c r="F56" i="29"/>
  <c r="H56" i="29" s="1"/>
  <c r="F40" i="29"/>
  <c r="H40" i="29" s="1"/>
  <c r="F61" i="29"/>
  <c r="H61" i="29" s="1"/>
  <c r="F57" i="29"/>
  <c r="H57" i="29" s="1"/>
  <c r="F41" i="29"/>
  <c r="H41" i="29" s="1"/>
  <c r="F83" i="29"/>
  <c r="H83" i="29" s="1"/>
  <c r="H18" i="29"/>
  <c r="F86" i="29"/>
  <c r="H86" i="29" s="1"/>
  <c r="F82" i="29"/>
  <c r="H82" i="29" s="1"/>
  <c r="F78" i="29"/>
  <c r="H78" i="29" s="1"/>
  <c r="F73" i="29"/>
  <c r="H73" i="29" s="1"/>
  <c r="F84" i="29"/>
  <c r="H84" i="29" s="1"/>
  <c r="F80" i="29"/>
  <c r="H80" i="29" s="1"/>
  <c r="F76" i="29"/>
  <c r="H76" i="29" s="1"/>
  <c r="E35" i="14" l="1"/>
  <c r="E42" i="14"/>
  <c r="H65" i="29"/>
  <c r="H64" i="29"/>
  <c r="H62" i="29"/>
  <c r="H63" i="29"/>
  <c r="H47" i="29"/>
  <c r="H46" i="29"/>
  <c r="H45" i="29"/>
  <c r="H44" i="29"/>
  <c r="E44" i="14" l="1"/>
  <c r="E37" i="29" s="1"/>
  <c r="H37" i="29" s="1"/>
  <c r="H49" i="29" s="1"/>
  <c r="H88" i="29"/>
  <c r="I99" i="29" l="1"/>
  <c r="I108" i="29" s="1"/>
  <c r="I109" i="29" s="1"/>
  <c r="I100" i="29" l="1"/>
</calcChain>
</file>

<file path=xl/sharedStrings.xml><?xml version="1.0" encoding="utf-8"?>
<sst xmlns="http://schemas.openxmlformats.org/spreadsheetml/2006/main" count="247" uniqueCount="199">
  <si>
    <t>District:</t>
  </si>
  <si>
    <t>Employee Name</t>
  </si>
  <si>
    <t>Job Title</t>
  </si>
  <si>
    <t>Teacher</t>
  </si>
  <si>
    <t>SAMPLE: John Doe</t>
  </si>
  <si>
    <t>Provider:</t>
  </si>
  <si>
    <t>Full-Time Equivalent</t>
  </si>
  <si>
    <t>SAMPLE: Jane Doe</t>
  </si>
  <si>
    <t xml:space="preserve">
</t>
  </si>
  <si>
    <t>Meal Type</t>
  </si>
  <si>
    <t>Breakfast</t>
  </si>
  <si>
    <t>Lunch</t>
  </si>
  <si>
    <t>Snack</t>
  </si>
  <si>
    <t>Number of Student Contact Days</t>
  </si>
  <si>
    <t>District Name:</t>
  </si>
  <si>
    <t>Provider Name:</t>
  </si>
  <si>
    <t>Program Type:</t>
  </si>
  <si>
    <t>Non-profit Status:</t>
  </si>
  <si>
    <t>Facility Ownership:</t>
  </si>
  <si>
    <t>District School Calendar Days:</t>
  </si>
  <si>
    <t>Expanded Head Start (Fully State-Funded)</t>
  </si>
  <si>
    <t>Other Private Provider</t>
  </si>
  <si>
    <t>Educational Attainment</t>
  </si>
  <si>
    <t>Tier Level</t>
  </si>
  <si>
    <t>Years of Preschool Experience</t>
  </si>
  <si>
    <t># Classrooms</t>
  </si>
  <si>
    <t>Educational Requirements</t>
  </si>
  <si>
    <t>Tier 1</t>
  </si>
  <si>
    <t>Tier 2</t>
  </si>
  <si>
    <t>Tier 3</t>
  </si>
  <si>
    <t>Tier 4</t>
  </si>
  <si>
    <t>Schedule for Director Salary Scale</t>
  </si>
  <si>
    <t>Classrooms</t>
  </si>
  <si>
    <t>0-5 Years</t>
  </si>
  <si>
    <t>8-9</t>
  </si>
  <si>
    <t>10-11</t>
  </si>
  <si>
    <t>12-14</t>
  </si>
  <si>
    <t>15 or more</t>
  </si>
  <si>
    <t>6-10 Years</t>
  </si>
  <si>
    <t>11 and Above</t>
  </si>
  <si>
    <t>Director's Academy and/or 15 Credit Hours Early Childhood Education, Business Administration/Accounting, or Education Administration.</t>
  </si>
  <si>
    <t>Bachelor's Degree in Early Childhood Education, Business Administration/Accounting, Education Administration, or Related Field.</t>
  </si>
  <si>
    <t>n/a</t>
  </si>
  <si>
    <t>Student Contact Days</t>
  </si>
  <si>
    <t>Preschool Experience</t>
  </si>
  <si>
    <t>Tier 1*</t>
  </si>
  <si>
    <t>Tier 2*</t>
  </si>
  <si>
    <t>Tier 3*</t>
  </si>
  <si>
    <t>Tier 4*</t>
  </si>
  <si>
    <t>*All credits/degrees must be obtained from an accredited college or university.</t>
  </si>
  <si>
    <r>
      <t xml:space="preserve">Bachelor's Degree with a specialization in Early Childhood Education supplemented by 15 Credit Hours of Business Administration/Accounting, Education Administration or Related Field.  </t>
    </r>
    <r>
      <rPr>
        <b/>
        <u/>
        <sz val="10"/>
        <rFont val="Times New Roman"/>
        <family val="1"/>
      </rPr>
      <t>OR</t>
    </r>
    <r>
      <rPr>
        <sz val="10"/>
        <rFont val="Times New Roman"/>
        <family val="1"/>
      </rPr>
      <t xml:space="preserve"> Bachelor's Degree in Business Administration/Accounting, Education Administration or Related Field supplemented by 15 Credit Hours of Early Childhood Education.  </t>
    </r>
    <r>
      <rPr>
        <b/>
        <u/>
        <sz val="10"/>
        <rFont val="Times New Roman"/>
        <family val="1"/>
      </rPr>
      <t>OR</t>
    </r>
    <r>
      <rPr>
        <sz val="10"/>
        <rFont val="Times New Roman"/>
        <family val="1"/>
      </rPr>
      <t xml:space="preserve"> Graduate Degree or higher in Education supplemented by 15 Credit Hours of Business Administration/Accounting or Education Administration or Related Field.</t>
    </r>
  </si>
  <si>
    <t>Graduate Degree or higher with a specialization in Early Childhood Education (specialization may be completed in either a Graduate or Bachelor's program) supplemented by 15 Credit Hours of Business Administration/Accounting or Education Administration.</t>
  </si>
  <si>
    <t>Center/parent company is 501(c)(3) non-profit</t>
  </si>
  <si>
    <t>Center/parent company is for-profit</t>
  </si>
  <si>
    <t>Site facilities leased from related party</t>
  </si>
  <si>
    <t>Site facilities leased from unrelated party</t>
  </si>
  <si>
    <t>Site facilities owned by provider/parent company</t>
  </si>
  <si>
    <t>PROVIDER STATEMENT OF ASSURANCES</t>
  </si>
  <si>
    <t xml:space="preserve">I certify that all the above items and any attached justification(s) are correct and complete. </t>
  </si>
  <si>
    <t xml:space="preserve"> </t>
  </si>
  <si>
    <t>______________________________________________________</t>
  </si>
  <si>
    <t xml:space="preserve">            Director’s Signature</t>
  </si>
  <si>
    <t xml:space="preserve">    Date</t>
  </si>
  <si>
    <t>_________________________</t>
  </si>
  <si>
    <t>Enhanced Head Start (State and Federally Funded)</t>
  </si>
  <si>
    <t>Table 1:  Eligible DOE-Funded Students</t>
  </si>
  <si>
    <t>Table 2: Reduced Price Rate of Reimbursement</t>
  </si>
  <si>
    <t>Table 3:  Above Scale (Paid) Rate of Reimbursement</t>
  </si>
  <si>
    <t>Number of Reduced Rate Children</t>
  </si>
  <si>
    <t>Number of Paid Rate Children</t>
  </si>
  <si>
    <t xml:space="preserve">Preschool Private Provider </t>
  </si>
  <si>
    <t>Expense</t>
  </si>
  <si>
    <t>FTE/ Quantity</t>
  </si>
  <si>
    <t>Unit Cost / Average Unit Cost</t>
  </si>
  <si>
    <t>Total Cost</t>
  </si>
  <si>
    <t>Teacher Assistant Salary</t>
  </si>
  <si>
    <t>Floating Teacher Assistant Salary</t>
  </si>
  <si>
    <t>Classroom Materials and Supplies</t>
  </si>
  <si>
    <t>Classroom Technology</t>
  </si>
  <si>
    <t>Field Trips w/ Transportation</t>
  </si>
  <si>
    <t>Family Worker Salary</t>
  </si>
  <si>
    <t>Food-Related Costs (CACFP participant, non-reimbursable costs)</t>
  </si>
  <si>
    <t>Food Worker Salary (cook)</t>
  </si>
  <si>
    <t>Social Security (6.20%)</t>
  </si>
  <si>
    <t>Medicare (1.45%)</t>
  </si>
  <si>
    <t>Unemployment (2.80%)</t>
  </si>
  <si>
    <t>Disability (0.50%)</t>
  </si>
  <si>
    <t>Director Salary</t>
  </si>
  <si>
    <t>Director Benefits</t>
  </si>
  <si>
    <t>Family Worker Benefits</t>
  </si>
  <si>
    <t>Food Worker Benefits (cook)</t>
  </si>
  <si>
    <t>Rent, Mortgage, Other Space Costs</t>
  </si>
  <si>
    <t>ADMINISTRATIVE SUPPORT AND INDIRECT COSTS</t>
  </si>
  <si>
    <t>SUPPORT COSTS</t>
  </si>
  <si>
    <t>Clerical Salary</t>
  </si>
  <si>
    <t>Clerical Benefits</t>
  </si>
  <si>
    <t>Office Equipment&gt;$2000 and Repair</t>
  </si>
  <si>
    <t>Office Materials and Supplies</t>
  </si>
  <si>
    <t>Food-Related Paper Supplies</t>
  </si>
  <si>
    <t>Cleaning Supplies</t>
  </si>
  <si>
    <t>Food for Meetings</t>
  </si>
  <si>
    <t>Building/Grounds Maintenance/Repair</t>
  </si>
  <si>
    <t>Utilities</t>
  </si>
  <si>
    <t>Telecommunications Services</t>
  </si>
  <si>
    <t>Insurance</t>
  </si>
  <si>
    <t>Accounting Fees</t>
  </si>
  <si>
    <t>Payroll Preparation Fees</t>
  </si>
  <si>
    <t>Advertising</t>
  </si>
  <si>
    <t>Staff Transportation</t>
  </si>
  <si>
    <t>Employer Payroll Taxes (For Educational Program Positions only)</t>
  </si>
  <si>
    <t>SUBTOTAL, Educational Program Costs</t>
  </si>
  <si>
    <t>One-Year Program</t>
  </si>
  <si>
    <t>All Other Classrooms:</t>
  </si>
  <si>
    <t>All Other Children:</t>
  </si>
  <si>
    <t>Providers must maintain ongoing supporting documentation (family applications, tables reflecting actual costs submitted to the district on quarterly reports, etc.) for review by district, DOE, and CACFP representatives during each contract period.</t>
  </si>
  <si>
    <t>DISTRICT ADJUSTMENTS (amounts withheld for items to be purchased by the district) FOR DISTRICT USE ONLY</t>
  </si>
  <si>
    <t>Teacher Salary</t>
  </si>
  <si>
    <t>DOE Share of Annual Costs:</t>
  </si>
  <si>
    <t>Teacher/Assistant Teacher Benefits</t>
  </si>
  <si>
    <t>Substitute Teacher Stipend</t>
  </si>
  <si>
    <t>Substitute Assistant Teacher Stipend</t>
  </si>
  <si>
    <t>DOE Share of Costs in Contracted Classrooms</t>
  </si>
  <si>
    <t>Food (for contracted preschool children only)</t>
  </si>
  <si>
    <t>DOE Share of Annual Costs</t>
  </si>
  <si>
    <t>EDUCATIONAL PROGRAM COSTS</t>
  </si>
  <si>
    <t>Custodian Salary</t>
  </si>
  <si>
    <t>Custodian Benefits</t>
  </si>
  <si>
    <t>FTE</t>
  </si>
  <si>
    <t>Assistant Food Worker Salary (asst. cook)</t>
  </si>
  <si>
    <t>Assistant Food Worker Benefits (asst. cook)</t>
  </si>
  <si>
    <t xml:space="preserve">Other Approved Budgeted Costs </t>
  </si>
  <si>
    <t>(Insert item name or brief description on this line.)</t>
  </si>
  <si>
    <t>DOE Share of Center-Wide Costs</t>
  </si>
  <si>
    <t>Security</t>
  </si>
  <si>
    <t>Contracted Eligible Children:</t>
  </si>
  <si>
    <t>Classrooms Serving Contracted Eligible Children:</t>
  </si>
  <si>
    <t>Center/parent company is other non-profit</t>
  </si>
  <si>
    <t>DCF License Number:</t>
  </si>
  <si>
    <t xml:space="preserve">     SUBTOTAL, Other Approved Budgeted Costs</t>
  </si>
  <si>
    <t>Worksheet for Estimating Food Costs Expensable to the Department of Education (DOE)</t>
  </si>
  <si>
    <t>Sum of Reduced Price Rate Expensable Totals</t>
  </si>
  <si>
    <t>Sum of Above Scale (Paid) Rate Totals</t>
  </si>
  <si>
    <t>Total Above Scale Rate Allowable Expenses</t>
  </si>
  <si>
    <t>Rate to Expense to DOE</t>
  </si>
  <si>
    <t>Total Reduced Price Rate Allowable Expenses</t>
  </si>
  <si>
    <t>Other Students in Classrooms with Contracted Eligible Children:</t>
  </si>
  <si>
    <t>Subtotal of Above Administrative Support and Indirect Costs</t>
  </si>
  <si>
    <t xml:space="preserve">Free Rate: Number of Contracted Eligible Students </t>
  </si>
  <si>
    <t>Reduced Rate: Number of Contracted Eligible Students</t>
  </si>
  <si>
    <t>Above Scale (Paid) Rate: Number of Contracted Eligible Students</t>
  </si>
  <si>
    <t>Total: Number of Contracted Eligible Students</t>
  </si>
  <si>
    <t>Estimated Total Allowable Expense (not covered by CACFP)</t>
  </si>
  <si>
    <t>Profit, if Applicable (Max of 2.5% of Ed Costs)</t>
  </si>
  <si>
    <t>3. Items on the attached provider budget are true and accurate, and the provider shall make expenditures in strict accordance with the approved budget.</t>
  </si>
  <si>
    <t xml:space="preserve">4. The provider’s activities and expenditures shall be subject to independent, external audit to ensure compliance with programmatic and fiscal requirements. </t>
  </si>
  <si>
    <r>
      <t xml:space="preserve">(Describe expense to be adjusted and enter </t>
    </r>
    <r>
      <rPr>
        <b/>
        <sz val="14"/>
        <rFont val="Arial"/>
        <family val="2"/>
      </rPr>
      <t>negative</t>
    </r>
    <r>
      <rPr>
        <sz val="14"/>
        <rFont val="Arial"/>
        <family val="2"/>
      </rPr>
      <t xml:space="preserve"> amount.)</t>
    </r>
  </si>
  <si>
    <t>PROVIDER PROGRAM TOTALS</t>
  </si>
  <si>
    <t xml:space="preserve">          Total Cost</t>
  </si>
  <si>
    <t xml:space="preserve">          Per-Pupil Cost</t>
  </si>
  <si>
    <t xml:space="preserve">     Total Cost Less District Adjustments</t>
  </si>
  <si>
    <t xml:space="preserve">     Per-Pupil Cost Less District Adjustments</t>
  </si>
  <si>
    <r>
      <t xml:space="preserve">Centers participating in CACFP are eligible to expense the actual costs of food for contracted eligible preschoolers up to the sum of actual costs for meals not already reimbursed by CACFP for contracted eligible students.       
</t>
    </r>
    <r>
      <rPr>
        <b/>
        <u/>
        <sz val="12"/>
        <rFont val="Times New Roman"/>
        <family val="1"/>
      </rPr>
      <t>Instructions:</t>
    </r>
    <r>
      <rPr>
        <sz val="12"/>
        <rFont val="Times New Roman"/>
        <family val="1"/>
      </rPr>
      <t xml:space="preserve">
</t>
    </r>
    <r>
      <rPr>
        <i/>
        <sz val="12"/>
        <rFont val="Times New Roman"/>
        <family val="1"/>
      </rPr>
      <t xml:space="preserve">  </t>
    </r>
    <r>
      <rPr>
        <b/>
        <sz val="12"/>
        <rFont val="Times New Roman"/>
        <family val="1"/>
      </rPr>
      <t xml:space="preserve">
</t>
    </r>
    <r>
      <rPr>
        <sz val="12"/>
        <rFont val="Times New Roman"/>
        <family val="1"/>
      </rPr>
      <t xml:space="preserve">1. On Table 1 below, enter the number of student contact days.  This number may not exceed the number of district school calendar days.  
2. On Table 1, enter the number of contracted eligible preschoolers eligible for free and reduced rate meals.  Centers in districts with universal programs may also enter the number of contracted eligible preschoolers eligible for paid rate meals.  Estimate counts based upon center history.
3. The line "Estimated Total Allowable Expense (not covered by CACFP)" will calculate an estimation of the sum of costs for meals served that are not reimbursed by CACFP for contracted eligible children.     
                                                                                                                                                                                                                          </t>
    </r>
  </si>
  <si>
    <r>
      <t xml:space="preserve">1. The provider agrees to meet the standards for educational programs set forth in </t>
    </r>
    <r>
      <rPr>
        <i/>
        <sz val="12"/>
        <rFont val="Times New Roman"/>
        <family val="1"/>
      </rPr>
      <t xml:space="preserve">New Jersey Administrative Code </t>
    </r>
    <r>
      <rPr>
        <sz val="12"/>
        <rFont val="Times New Roman"/>
        <family val="1"/>
      </rPr>
      <t>6A:13A.</t>
    </r>
  </si>
  <si>
    <t>Security Guard Salary</t>
  </si>
  <si>
    <t>Security Guard Benefits</t>
  </si>
  <si>
    <t>INDIRECT COSTS -- SPACE COSTS</t>
  </si>
  <si>
    <t>INDIRECT COSTS -- ALL OTHER ALLOWABLE INDIRECT</t>
  </si>
  <si>
    <t>5. The provider shall use the private provider one-year budget planning worksheet as the basis for their quarterly expenditure report.</t>
  </si>
  <si>
    <t>NOTE:  All figures below reflect full-time, full-year salaries for center directors.</t>
  </si>
  <si>
    <r>
      <t xml:space="preserve">2. The provider’s preschool program is aligned with the </t>
    </r>
    <r>
      <rPr>
        <i/>
        <sz val="12"/>
        <rFont val="Times New Roman"/>
        <family val="1"/>
      </rPr>
      <t>New Jersey Preschool Teaching and Learning Standards.</t>
    </r>
  </si>
  <si>
    <t>I, _________________________ (name), Director of __________________________ (the DCF-licensed provider), hereby assure that the following has occurred. If I cannot assure any of the activities below, justification will be included on a separate page.</t>
  </si>
  <si>
    <t xml:space="preserve">School/Site Name </t>
  </si>
  <si>
    <r>
      <t xml:space="preserve">Salary Step </t>
    </r>
    <r>
      <rPr>
        <b/>
        <sz val="8"/>
        <rFont val="MS Sans Serif"/>
        <family val="2"/>
      </rPr>
      <t>(if applicable)</t>
    </r>
  </si>
  <si>
    <t>M2</t>
  </si>
  <si>
    <t>Clerical Worker</t>
  </si>
  <si>
    <t>Teachers</t>
  </si>
  <si>
    <t>Relief Teachers</t>
  </si>
  <si>
    <t>Teacher Assistants</t>
  </si>
  <si>
    <t>Supervisors of Instruction</t>
  </si>
  <si>
    <t>Principals/Assistant Principals/Program Directors</t>
  </si>
  <si>
    <t>Other Professional Staff</t>
  </si>
  <si>
    <t xml:space="preserve">Secretarial and Clerical Assistants </t>
  </si>
  <si>
    <t>Fiscal Specialist</t>
  </si>
  <si>
    <t>Custodian</t>
  </si>
  <si>
    <t>Security Guard</t>
  </si>
  <si>
    <t>Family/Parent Liason</t>
  </si>
  <si>
    <t xml:space="preserve">Faciliator/Coach </t>
  </si>
  <si>
    <t xml:space="preserve">District: </t>
  </si>
  <si>
    <t xml:space="preserve">Provider: </t>
  </si>
  <si>
    <t>2023-24 Salary</t>
  </si>
  <si>
    <t>2023-24 Benefits</t>
  </si>
  <si>
    <t>2024-25 Child and Adult Care Food Program (CACFP) Worksheet</t>
  </si>
  <si>
    <t xml:space="preserve">The above meal rates are based on "Child and Adult Care Food Program: National Average Payment Rates, Day Care Home Food Service Payment Rates, and Administrative Reimbursement Rates for Sponsoring Organizations of Day Care Homes for the Period, July 1, 2024 Through June 30, 2025". Available at: https://federalregister.gov/a/2015-17597. </t>
  </si>
  <si>
    <t>2024-25 Table 5: Director Salary Scale and Worksheet</t>
  </si>
  <si>
    <t>2024-25 SCHEDULE A: Provider Personnel Detail</t>
  </si>
  <si>
    <t>2024-25 Salary</t>
  </si>
  <si>
    <t>2024-25 Benefits</t>
  </si>
  <si>
    <t>2024-25 Private Provider One-Year Budget Planning Worksheet</t>
  </si>
  <si>
    <t>School Year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</si>
</sst>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quot;$&quot;#,##0"/>
    <numFmt numFmtId="168" formatCode="&quot;$&quot;#,##0.00"/>
    <numFmt numFmtId="169" formatCode="[$-409]mmmm\ d\,\ yyyy;@"/>
    <numFmt numFmtId="170" formatCode="00000"/>
  </numFmts>
  <fonts count="32" x14ac:knownFonts="1">
    <font>
      <sz val="10"/>
      <name val="MS Sans Serif"/>
    </font>
    <font>
      <b/>
      <sz val="10"/>
      <name val="MS Sans Serif"/>
      <family val="2"/>
    </font>
    <font>
      <sz val="10"/>
      <name val="MS Sans Serif"/>
      <family val="2"/>
    </font>
    <font>
      <sz val="10"/>
      <name val="Arial"/>
      <family val="2"/>
    </font>
    <font>
      <b/>
      <sz val="10"/>
      <name val="Arial"/>
      <family val="2"/>
    </font>
    <font>
      <b/>
      <sz val="24"/>
      <name val="Arial"/>
      <family val="2"/>
    </font>
    <font>
      <b/>
      <sz val="10"/>
      <name val="MS Sans Serif"/>
      <family val="2"/>
    </font>
    <font>
      <sz val="10"/>
      <name val="Arial"/>
      <family val="2"/>
    </font>
    <font>
      <b/>
      <i/>
      <sz val="10"/>
      <name val="MS Sans Serif"/>
      <family val="2"/>
    </font>
    <font>
      <sz val="12"/>
      <name val="Times New Roman"/>
      <family val="1"/>
    </font>
    <font>
      <b/>
      <sz val="12"/>
      <name val="Times New Roman"/>
      <family val="1"/>
    </font>
    <font>
      <sz val="10"/>
      <color indexed="9"/>
      <name val="Arial"/>
      <family val="2"/>
    </font>
    <font>
      <b/>
      <sz val="12"/>
      <name val="Arial"/>
      <family val="2"/>
    </font>
    <font>
      <sz val="14"/>
      <name val="Arial"/>
      <family val="2"/>
    </font>
    <font>
      <b/>
      <sz val="14"/>
      <name val="Arial"/>
      <family val="2"/>
    </font>
    <font>
      <sz val="10"/>
      <name val="Times New Roman"/>
      <family val="1"/>
    </font>
    <font>
      <sz val="8"/>
      <name val="MS Sans Serif"/>
      <family val="2"/>
    </font>
    <font>
      <sz val="12"/>
      <name val="Arial"/>
      <family val="2"/>
    </font>
    <font>
      <sz val="8"/>
      <name val="Arial"/>
      <family val="2"/>
    </font>
    <font>
      <b/>
      <sz val="16"/>
      <name val="Times New Roman"/>
      <family val="1"/>
    </font>
    <font>
      <b/>
      <sz val="11"/>
      <name val="Times New Roman"/>
      <family val="1"/>
    </font>
    <font>
      <b/>
      <sz val="10"/>
      <name val="Times New Roman"/>
      <family val="1"/>
    </font>
    <font>
      <b/>
      <u/>
      <sz val="10"/>
      <name val="Times New Roman"/>
      <family val="1"/>
    </font>
    <font>
      <b/>
      <sz val="24"/>
      <name val="Times New Roman"/>
      <family val="1"/>
    </font>
    <font>
      <i/>
      <sz val="10"/>
      <name val="Times New Roman"/>
      <family val="1"/>
    </font>
    <font>
      <i/>
      <sz val="12"/>
      <name val="Times New Roman"/>
      <family val="1"/>
    </font>
    <font>
      <b/>
      <sz val="14"/>
      <color indexed="9"/>
      <name val="Arial"/>
      <family val="2"/>
    </font>
    <font>
      <b/>
      <u/>
      <sz val="12"/>
      <name val="Times New Roman"/>
      <family val="1"/>
    </font>
    <font>
      <b/>
      <sz val="8"/>
      <name val="MS Sans Serif"/>
      <family val="2"/>
    </font>
    <font>
      <b/>
      <i/>
      <sz val="10"/>
      <name val="Calibri"/>
      <family val="2"/>
      <scheme val="minor"/>
    </font>
    <font>
      <b/>
      <sz val="10"/>
      <name val="MS Sans Serif"/>
    </font>
    <font>
      <sz val="10"/>
      <color theme="1"/>
      <name val="Arial"/>
      <family val="2"/>
    </font>
  </fonts>
  <fills count="18">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5"/>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indexed="46"/>
        <bgColor indexed="64"/>
      </patternFill>
    </fill>
    <fill>
      <patternFill patternType="solid">
        <fgColor indexed="47"/>
        <bgColor indexed="64"/>
      </patternFill>
    </fill>
    <fill>
      <patternFill patternType="solid">
        <fgColor indexed="61"/>
        <bgColor indexed="64"/>
      </patternFill>
    </fill>
    <fill>
      <patternFill patternType="solid">
        <fgColor rgb="FF33CC33"/>
        <bgColor indexed="64"/>
      </patternFill>
    </fill>
    <fill>
      <patternFill patternType="solid">
        <fgColor theme="6" tint="0.39997558519241921"/>
        <bgColor indexed="64"/>
      </patternFill>
    </fill>
    <fill>
      <patternFill patternType="solid">
        <fgColor rgb="FFFFFF99"/>
        <bgColor rgb="FF000000"/>
      </patternFill>
    </fill>
    <fill>
      <patternFill patternType="solid">
        <fgColor theme="8" tint="0.59999389629810485"/>
        <bgColor indexed="64"/>
      </patternFill>
    </fill>
    <fill>
      <patternFill patternType="solid">
        <fgColor rgb="FFFFFF99"/>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style="thin">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0" fontId="7" fillId="0" borderId="0"/>
    <xf numFmtId="0" fontId="7" fillId="0" borderId="0"/>
    <xf numFmtId="0" fontId="7" fillId="0" borderId="0"/>
    <xf numFmtId="9" fontId="2" fillId="0" borderId="0" applyFont="0" applyFill="0" applyBorder="0" applyAlignment="0" applyProtection="0"/>
  </cellStyleXfs>
  <cellXfs count="390">
    <xf numFmtId="0" fontId="0" fillId="0" borderId="0" xfId="0"/>
    <xf numFmtId="164" fontId="5" fillId="0" borderId="0" xfId="1" applyNumberFormat="1" applyFont="1" applyFill="1" applyBorder="1" applyAlignment="1">
      <alignment horizontal="center"/>
    </xf>
    <xf numFmtId="0" fontId="4" fillId="0" borderId="0" xfId="1" applyNumberFormat="1" applyFont="1" applyFill="1" applyBorder="1" applyAlignment="1">
      <alignment horizontal="center"/>
    </xf>
    <xf numFmtId="166" fontId="4" fillId="0" borderId="0" xfId="2" applyNumberFormat="1" applyFont="1" applyFill="1" applyBorder="1" applyAlignment="1">
      <alignment horizontal="center"/>
    </xf>
    <xf numFmtId="164" fontId="4" fillId="0" borderId="0" xfId="1" applyNumberFormat="1" applyFont="1" applyFill="1" applyAlignment="1">
      <alignment horizontal="right"/>
    </xf>
    <xf numFmtId="166" fontId="1" fillId="0" borderId="0" xfId="2" applyNumberFormat="1" applyFont="1" applyFill="1" applyBorder="1"/>
    <xf numFmtId="0" fontId="4" fillId="0" borderId="0" xfId="2" applyNumberFormat="1" applyFont="1" applyFill="1" applyBorder="1" applyAlignment="1">
      <alignment horizontal="right"/>
    </xf>
    <xf numFmtId="43" fontId="4" fillId="0" borderId="0" xfId="1" applyFont="1" applyFill="1" applyBorder="1" applyAlignment="1">
      <alignment horizontal="center"/>
    </xf>
    <xf numFmtId="166" fontId="2" fillId="0" borderId="0" xfId="2" applyNumberFormat="1"/>
    <xf numFmtId="0" fontId="2" fillId="0" borderId="0" xfId="2" applyNumberFormat="1" applyAlignment="1">
      <alignment horizontal="right"/>
    </xf>
    <xf numFmtId="43" fontId="2" fillId="0" borderId="0" xfId="1"/>
    <xf numFmtId="164" fontId="4" fillId="0" borderId="0" xfId="1" applyNumberFormat="1" applyFont="1" applyFill="1" applyBorder="1"/>
    <xf numFmtId="43" fontId="2" fillId="0" borderId="0" xfId="1" applyFill="1" applyBorder="1"/>
    <xf numFmtId="166" fontId="2" fillId="0" borderId="0" xfId="2" applyNumberFormat="1" applyFill="1" applyBorder="1"/>
    <xf numFmtId="0" fontId="8" fillId="0" borderId="0" xfId="0" applyFont="1"/>
    <xf numFmtId="43" fontId="2" fillId="0" borderId="1" xfId="1" applyBorder="1" applyProtection="1">
      <protection locked="0"/>
    </xf>
    <xf numFmtId="0" fontId="0" fillId="0" borderId="0" xfId="0" applyProtection="1">
      <protection locked="0"/>
    </xf>
    <xf numFmtId="0" fontId="7" fillId="0" borderId="0" xfId="3"/>
    <xf numFmtId="0" fontId="7" fillId="0" borderId="0" xfId="3" applyAlignment="1">
      <alignment wrapText="1"/>
    </xf>
    <xf numFmtId="0" fontId="9" fillId="0" borderId="0" xfId="3" applyFont="1" applyAlignment="1">
      <alignment wrapText="1"/>
    </xf>
    <xf numFmtId="0" fontId="9" fillId="0" borderId="0" xfId="3" applyFont="1"/>
    <xf numFmtId="0" fontId="10" fillId="2" borderId="3" xfId="3" applyFont="1" applyFill="1" applyBorder="1" applyAlignment="1">
      <alignment vertical="top" wrapText="1"/>
    </xf>
    <xf numFmtId="0" fontId="10" fillId="2" borderId="3" xfId="3" applyFont="1" applyFill="1" applyBorder="1" applyAlignment="1">
      <alignment horizontal="center" vertical="top" wrapText="1"/>
    </xf>
    <xf numFmtId="0" fontId="10" fillId="3" borderId="3" xfId="3" applyFont="1" applyFill="1" applyBorder="1" applyAlignment="1">
      <alignment horizontal="center" vertical="top" wrapText="1"/>
    </xf>
    <xf numFmtId="0" fontId="10" fillId="4" borderId="3" xfId="3" applyFont="1" applyFill="1" applyBorder="1" applyAlignment="1">
      <alignment horizontal="center" vertical="top" wrapText="1"/>
    </xf>
    <xf numFmtId="43" fontId="11" fillId="0" borderId="0" xfId="1" applyFont="1" applyProtection="1"/>
    <xf numFmtId="0" fontId="3" fillId="0" borderId="0" xfId="5" applyFont="1"/>
    <xf numFmtId="0" fontId="4" fillId="0" borderId="0" xfId="5" applyFont="1" applyAlignment="1">
      <alignment horizontal="center"/>
    </xf>
    <xf numFmtId="43" fontId="4" fillId="0" borderId="0" xfId="1" applyFont="1" applyFill="1" applyBorder="1" applyAlignment="1" applyProtection="1">
      <alignment horizontal="center"/>
    </xf>
    <xf numFmtId="166" fontId="4" fillId="0" borderId="0" xfId="2" applyNumberFormat="1" applyFont="1" applyFill="1" applyBorder="1" applyAlignment="1" applyProtection="1">
      <alignment horizontal="center"/>
    </xf>
    <xf numFmtId="43" fontId="3" fillId="0" borderId="0" xfId="1" applyFont="1" applyFill="1" applyBorder="1" applyAlignment="1" applyProtection="1">
      <alignment horizontal="left"/>
    </xf>
    <xf numFmtId="0" fontId="4" fillId="0" borderId="0" xfId="5" applyFont="1" applyAlignment="1">
      <alignment horizontal="left"/>
    </xf>
    <xf numFmtId="166" fontId="3" fillId="0" borderId="0" xfId="2" applyNumberFormat="1" applyFont="1" applyProtection="1"/>
    <xf numFmtId="43" fontId="3" fillId="0" borderId="0" xfId="1" applyFont="1" applyBorder="1" applyProtection="1"/>
    <xf numFmtId="43" fontId="3" fillId="0" borderId="0" xfId="1" applyFont="1" applyProtection="1"/>
    <xf numFmtId="165" fontId="3" fillId="0" borderId="0" xfId="6" applyNumberFormat="1" applyFont="1" applyBorder="1" applyProtection="1"/>
    <xf numFmtId="166" fontId="3" fillId="0" borderId="0" xfId="2" applyNumberFormat="1" applyFont="1" applyBorder="1" applyProtection="1"/>
    <xf numFmtId="0" fontId="14" fillId="0" borderId="4" xfId="5" applyFont="1" applyBorder="1"/>
    <xf numFmtId="43" fontId="14" fillId="0" borderId="4" xfId="1" applyFont="1" applyFill="1" applyBorder="1" applyProtection="1"/>
    <xf numFmtId="166" fontId="14" fillId="0" borderId="4" xfId="2" applyNumberFormat="1" applyFont="1" applyFill="1" applyBorder="1" applyProtection="1"/>
    <xf numFmtId="165" fontId="14" fillId="0" borderId="4" xfId="6" applyNumberFormat="1" applyFont="1" applyFill="1" applyBorder="1" applyProtection="1"/>
    <xf numFmtId="166" fontId="13" fillId="0" borderId="4" xfId="2" applyNumberFormat="1" applyFont="1" applyFill="1" applyBorder="1" applyProtection="1">
      <protection locked="0"/>
    </xf>
    <xf numFmtId="166" fontId="14" fillId="5" borderId="4" xfId="2" applyNumberFormat="1" applyFont="1" applyFill="1" applyBorder="1" applyProtection="1"/>
    <xf numFmtId="0" fontId="14" fillId="6" borderId="4" xfId="5" applyFont="1" applyFill="1" applyBorder="1"/>
    <xf numFmtId="166" fontId="13" fillId="6" borderId="4" xfId="2" applyNumberFormat="1" applyFont="1" applyFill="1" applyBorder="1" applyAlignment="1" applyProtection="1"/>
    <xf numFmtId="165" fontId="13" fillId="6" borderId="4" xfId="6" applyNumberFormat="1" applyFont="1" applyFill="1" applyBorder="1" applyAlignment="1" applyProtection="1"/>
    <xf numFmtId="0" fontId="13" fillId="6" borderId="4" xfId="5" applyFont="1" applyFill="1" applyBorder="1"/>
    <xf numFmtId="43" fontId="13" fillId="6" borderId="4" xfId="1" applyFont="1" applyFill="1" applyBorder="1" applyAlignment="1" applyProtection="1"/>
    <xf numFmtId="0" fontId="13" fillId="0" borderId="4" xfId="5" applyFont="1" applyBorder="1" applyProtection="1">
      <protection locked="0"/>
    </xf>
    <xf numFmtId="43" fontId="13" fillId="0" borderId="4" xfId="1" applyFont="1" applyFill="1" applyBorder="1" applyProtection="1">
      <protection locked="0"/>
    </xf>
    <xf numFmtId="165" fontId="13" fillId="0" borderId="4" xfId="6" applyNumberFormat="1" applyFont="1" applyFill="1" applyBorder="1" applyProtection="1">
      <protection locked="0"/>
    </xf>
    <xf numFmtId="0" fontId="15" fillId="0" borderId="0" xfId="4" applyFont="1"/>
    <xf numFmtId="0" fontId="20" fillId="0" borderId="0" xfId="4" applyFont="1" applyAlignment="1">
      <alignment horizontal="left" vertical="center"/>
    </xf>
    <xf numFmtId="168" fontId="15" fillId="0" borderId="0" xfId="4" applyNumberFormat="1" applyFont="1"/>
    <xf numFmtId="167" fontId="15" fillId="0" borderId="0" xfId="4" applyNumberFormat="1" applyFont="1"/>
    <xf numFmtId="0" fontId="9" fillId="0" borderId="0" xfId="4" applyFont="1" applyAlignment="1">
      <alignment horizontal="left" vertical="center"/>
    </xf>
    <xf numFmtId="167" fontId="9" fillId="0" borderId="0" xfId="4" applyNumberFormat="1" applyFont="1" applyAlignment="1">
      <alignment horizontal="left" vertical="center"/>
    </xf>
    <xf numFmtId="0" fontId="21" fillId="0" borderId="0" xfId="4" applyFont="1" applyAlignment="1">
      <alignment horizontal="left" vertical="center" wrapText="1"/>
    </xf>
    <xf numFmtId="0" fontId="21" fillId="6" borderId="1" xfId="4" applyFont="1" applyFill="1" applyBorder="1" applyAlignment="1">
      <alignment horizontal="right"/>
    </xf>
    <xf numFmtId="0" fontId="21" fillId="0" borderId="0" xfId="4" applyFont="1" applyAlignment="1">
      <alignment horizontal="left" vertical="center"/>
    </xf>
    <xf numFmtId="0" fontId="10" fillId="0" borderId="0" xfId="4" applyFont="1" applyAlignment="1" applyProtection="1">
      <alignment horizontal="center" vertical="center"/>
      <protection locked="0"/>
    </xf>
    <xf numFmtId="0" fontId="10" fillId="0" borderId="0" xfId="4" applyFont="1" applyAlignment="1">
      <alignment horizontal="center" vertical="center"/>
    </xf>
    <xf numFmtId="0" fontId="15" fillId="0" borderId="0" xfId="4" applyFont="1" applyAlignment="1">
      <alignment horizontal="center"/>
    </xf>
    <xf numFmtId="0" fontId="21" fillId="0" borderId="5" xfId="4" applyFont="1" applyBorder="1" applyAlignment="1">
      <alignment horizontal="center" wrapText="1"/>
    </xf>
    <xf numFmtId="0" fontId="21" fillId="0" borderId="1" xfId="4" applyFont="1" applyBorder="1" applyAlignment="1">
      <alignment horizontal="left" wrapText="1"/>
    </xf>
    <xf numFmtId="0" fontId="21" fillId="0" borderId="1" xfId="4" applyFont="1" applyBorder="1" applyAlignment="1">
      <alignment horizontal="right"/>
    </xf>
    <xf numFmtId="167" fontId="21" fillId="0" borderId="1" xfId="4" applyNumberFormat="1" applyFont="1" applyBorder="1" applyAlignment="1">
      <alignment horizontal="right"/>
    </xf>
    <xf numFmtId="0" fontId="15" fillId="0" borderId="5" xfId="4" applyFont="1" applyBorder="1" applyAlignment="1">
      <alignment horizontal="center" wrapText="1"/>
    </xf>
    <xf numFmtId="0" fontId="15" fillId="0" borderId="1" xfId="4" applyFont="1" applyBorder="1" applyAlignment="1">
      <alignment horizontal="left" wrapText="1"/>
    </xf>
    <xf numFmtId="167" fontId="15" fillId="0" borderId="1" xfId="4" applyNumberFormat="1" applyFont="1" applyBorder="1"/>
    <xf numFmtId="49" fontId="15" fillId="0" borderId="1" xfId="4" applyNumberFormat="1" applyFont="1" applyBorder="1" applyAlignment="1">
      <alignment horizontal="left" wrapText="1"/>
    </xf>
    <xf numFmtId="0" fontId="15" fillId="0" borderId="0" xfId="4" applyFont="1" applyAlignment="1">
      <alignment horizontal="left"/>
    </xf>
    <xf numFmtId="167" fontId="15" fillId="7" borderId="1" xfId="4" applyNumberFormat="1" applyFont="1" applyFill="1" applyBorder="1"/>
    <xf numFmtId="0" fontId="15" fillId="0" borderId="5" xfId="4" applyFont="1" applyBorder="1" applyAlignment="1">
      <alignment horizontal="center"/>
    </xf>
    <xf numFmtId="0" fontId="15" fillId="0" borderId="1" xfId="4" applyFont="1" applyBorder="1" applyAlignment="1">
      <alignment horizontal="left"/>
    </xf>
    <xf numFmtId="0" fontId="15" fillId="0" borderId="1" xfId="4" applyFont="1" applyBorder="1"/>
    <xf numFmtId="0" fontId="21" fillId="0" borderId="0" xfId="4" applyFont="1"/>
    <xf numFmtId="0" fontId="21" fillId="0" borderId="0" xfId="4" applyFont="1" applyAlignment="1">
      <alignment horizontal="center"/>
    </xf>
    <xf numFmtId="167" fontId="15" fillId="0" borderId="0" xfId="4" applyNumberFormat="1" applyFont="1" applyAlignment="1">
      <alignment horizontal="center"/>
    </xf>
    <xf numFmtId="0" fontId="21" fillId="0" borderId="6" xfId="4" applyFont="1" applyBorder="1" applyAlignment="1" applyProtection="1">
      <alignment horizontal="center"/>
      <protection locked="0"/>
    </xf>
    <xf numFmtId="0" fontId="21" fillId="6" borderId="7" xfId="4" applyFont="1" applyFill="1" applyBorder="1" applyAlignment="1">
      <alignment horizontal="center" vertical="center"/>
    </xf>
    <xf numFmtId="0" fontId="21" fillId="0" borderId="1" xfId="4" applyFont="1" applyBorder="1" applyAlignment="1">
      <alignment horizontal="left" vertical="center"/>
    </xf>
    <xf numFmtId="8" fontId="9" fillId="2" borderId="3" xfId="3" applyNumberFormat="1" applyFont="1" applyFill="1" applyBorder="1" applyAlignment="1">
      <alignment horizontal="right" vertical="top" wrapText="1"/>
    </xf>
    <xf numFmtId="0" fontId="9" fillId="3" borderId="3" xfId="3" applyFont="1" applyFill="1" applyBorder="1" applyAlignment="1">
      <alignment horizontal="right" vertical="top" wrapText="1"/>
    </xf>
    <xf numFmtId="0" fontId="9" fillId="2" borderId="3" xfId="3" applyFont="1" applyFill="1" applyBorder="1" applyAlignment="1">
      <alignment horizontal="right" vertical="top" wrapText="1"/>
    </xf>
    <xf numFmtId="3" fontId="10" fillId="8" borderId="3" xfId="0" applyNumberFormat="1" applyFont="1" applyFill="1" applyBorder="1" applyAlignment="1" applyProtection="1">
      <alignment horizontal="right" wrapText="1"/>
      <protection locked="0"/>
    </xf>
    <xf numFmtId="3" fontId="10" fillId="3" borderId="3" xfId="0" applyNumberFormat="1" applyFont="1" applyFill="1" applyBorder="1" applyAlignment="1" applyProtection="1">
      <alignment horizontal="right" wrapText="1"/>
      <protection locked="0"/>
    </xf>
    <xf numFmtId="3" fontId="10" fillId="4" borderId="3" xfId="0" applyNumberFormat="1" applyFont="1" applyFill="1" applyBorder="1" applyAlignment="1" applyProtection="1">
      <alignment horizontal="right" wrapText="1"/>
      <protection locked="0"/>
    </xf>
    <xf numFmtId="3" fontId="10" fillId="9" borderId="3" xfId="0" applyNumberFormat="1" applyFont="1" applyFill="1" applyBorder="1" applyAlignment="1">
      <alignment horizontal="right" wrapText="1"/>
    </xf>
    <xf numFmtId="0" fontId="9" fillId="4" borderId="3" xfId="3" applyFont="1" applyFill="1" applyBorder="1" applyAlignment="1">
      <alignment horizontal="right" vertical="top" wrapText="1"/>
    </xf>
    <xf numFmtId="169" fontId="21" fillId="0" borderId="1" xfId="4" applyNumberFormat="1" applyFont="1" applyBorder="1" applyAlignment="1">
      <alignment horizontal="right"/>
    </xf>
    <xf numFmtId="169" fontId="21" fillId="0" borderId="1" xfId="4" applyNumberFormat="1" applyFont="1" applyBorder="1" applyAlignment="1">
      <alignment horizontal="left"/>
    </xf>
    <xf numFmtId="3" fontId="9" fillId="2" borderId="3" xfId="3" applyNumberFormat="1" applyFont="1" applyFill="1" applyBorder="1" applyAlignment="1">
      <alignment horizontal="right" vertical="top" wrapText="1"/>
    </xf>
    <xf numFmtId="167" fontId="24" fillId="0" borderId="0" xfId="4" applyNumberFormat="1" applyFont="1"/>
    <xf numFmtId="0" fontId="13" fillId="0" borderId="9" xfId="5" applyFont="1" applyBorder="1"/>
    <xf numFmtId="0" fontId="2" fillId="0" borderId="1" xfId="2" applyNumberFormat="1" applyBorder="1" applyAlignment="1" applyProtection="1">
      <alignment horizontal="right"/>
      <protection locked="0"/>
    </xf>
    <xf numFmtId="0" fontId="2" fillId="0" borderId="1" xfId="2" applyNumberFormat="1" applyFont="1" applyBorder="1" applyAlignment="1" applyProtection="1">
      <alignment horizontal="right"/>
      <protection locked="0"/>
    </xf>
    <xf numFmtId="0" fontId="3" fillId="0" borderId="0" xfId="1" applyNumberFormat="1" applyFont="1" applyProtection="1">
      <protection locked="0"/>
    </xf>
    <xf numFmtId="0" fontId="3" fillId="0" borderId="0" xfId="0" applyFont="1"/>
    <xf numFmtId="43" fontId="4" fillId="6" borderId="1" xfId="1" applyFont="1" applyFill="1" applyBorder="1" applyAlignment="1" applyProtection="1">
      <alignment horizontal="center" wrapText="1"/>
    </xf>
    <xf numFmtId="166" fontId="4" fillId="6" borderId="1" xfId="2" applyNumberFormat="1" applyFont="1" applyFill="1" applyBorder="1" applyAlignment="1" applyProtection="1">
      <alignment horizontal="center" wrapText="1"/>
    </xf>
    <xf numFmtId="165" fontId="4" fillId="6" borderId="1" xfId="6" applyNumberFormat="1" applyFont="1" applyFill="1" applyBorder="1" applyAlignment="1" applyProtection="1">
      <alignment horizontal="center" wrapText="1"/>
    </xf>
    <xf numFmtId="0" fontId="3" fillId="0" borderId="9" xfId="5" applyFont="1" applyBorder="1"/>
    <xf numFmtId="0" fontId="3" fillId="0" borderId="4" xfId="5" applyFont="1" applyBorder="1"/>
    <xf numFmtId="43" fontId="3" fillId="0" borderId="4" xfId="1" applyFont="1" applyBorder="1" applyAlignment="1" applyProtection="1"/>
    <xf numFmtId="166" fontId="3" fillId="0" borderId="4" xfId="2" applyNumberFormat="1" applyFont="1" applyBorder="1" applyAlignment="1" applyProtection="1"/>
    <xf numFmtId="165" fontId="3" fillId="0" borderId="4" xfId="6" applyNumberFormat="1" applyFont="1" applyBorder="1" applyAlignment="1" applyProtection="1"/>
    <xf numFmtId="0" fontId="3" fillId="0" borderId="5" xfId="5" applyFont="1" applyBorder="1"/>
    <xf numFmtId="0" fontId="12" fillId="6" borderId="4" xfId="5" applyFont="1" applyFill="1" applyBorder="1"/>
    <xf numFmtId="43" fontId="12" fillId="6" borderId="4" xfId="1" applyFont="1" applyFill="1" applyBorder="1" applyAlignment="1" applyProtection="1"/>
    <xf numFmtId="166" fontId="12" fillId="6" borderId="4" xfId="2" applyNumberFormat="1" applyFont="1" applyFill="1" applyBorder="1" applyAlignment="1" applyProtection="1"/>
    <xf numFmtId="165" fontId="12" fillId="6" borderId="4" xfId="6" applyNumberFormat="1" applyFont="1" applyFill="1" applyBorder="1" applyAlignment="1" applyProtection="1"/>
    <xf numFmtId="0" fontId="12" fillId="6" borderId="5" xfId="5" applyFont="1" applyFill="1" applyBorder="1"/>
    <xf numFmtId="0" fontId="13" fillId="0" borderId="4" xfId="5" applyFont="1" applyBorder="1"/>
    <xf numFmtId="0" fontId="13" fillId="0" borderId="5" xfId="5" applyFont="1" applyBorder="1"/>
    <xf numFmtId="167" fontId="13" fillId="0" borderId="1" xfId="2" applyNumberFormat="1" applyFont="1" applyBorder="1" applyProtection="1">
      <protection locked="0"/>
    </xf>
    <xf numFmtId="43" fontId="13" fillId="0" borderId="4" xfId="1" applyFont="1" applyBorder="1" applyProtection="1"/>
    <xf numFmtId="166" fontId="13" fillId="0" borderId="4" xfId="2" applyNumberFormat="1" applyFont="1" applyBorder="1" applyProtection="1"/>
    <xf numFmtId="10" fontId="13" fillId="0" borderId="4" xfId="6" applyNumberFormat="1" applyFont="1" applyBorder="1" applyProtection="1"/>
    <xf numFmtId="167" fontId="13" fillId="0" borderId="4" xfId="2" applyNumberFormat="1" applyFont="1" applyBorder="1" applyAlignment="1" applyProtection="1">
      <alignment horizontal="right"/>
    </xf>
    <xf numFmtId="167" fontId="13" fillId="0" borderId="5" xfId="2" applyNumberFormat="1" applyFont="1" applyBorder="1" applyAlignment="1" applyProtection="1">
      <alignment horizontal="right"/>
    </xf>
    <xf numFmtId="43" fontId="11" fillId="0" borderId="0" xfId="1" applyFont="1" applyFill="1" applyProtection="1"/>
    <xf numFmtId="0" fontId="13" fillId="0" borderId="10" xfId="5" applyFont="1" applyBorder="1"/>
    <xf numFmtId="0" fontId="13" fillId="0" borderId="11" xfId="5" applyFont="1" applyBorder="1"/>
    <xf numFmtId="0" fontId="13" fillId="0" borderId="12" xfId="5" applyFont="1" applyBorder="1"/>
    <xf numFmtId="167" fontId="13" fillId="0" borderId="13" xfId="2" applyNumberFormat="1" applyFont="1" applyBorder="1" applyProtection="1">
      <protection locked="0"/>
    </xf>
    <xf numFmtId="0" fontId="13" fillId="0" borderId="14" xfId="5" applyFont="1" applyBorder="1"/>
    <xf numFmtId="0" fontId="13" fillId="0" borderId="2" xfId="5" applyFont="1" applyBorder="1"/>
    <xf numFmtId="0" fontId="13" fillId="0" borderId="6" xfId="5" applyFont="1" applyBorder="1"/>
    <xf numFmtId="39" fontId="13" fillId="0" borderId="7" xfId="1" applyNumberFormat="1" applyFont="1" applyFill="1" applyBorder="1" applyAlignment="1" applyProtection="1">
      <protection locked="0"/>
    </xf>
    <xf numFmtId="167" fontId="13" fillId="0" borderId="7" xfId="2" applyNumberFormat="1" applyFont="1" applyBorder="1" applyProtection="1">
      <protection locked="0"/>
    </xf>
    <xf numFmtId="165" fontId="13" fillId="0" borderId="4" xfId="6" applyNumberFormat="1" applyFont="1" applyBorder="1" applyProtection="1"/>
    <xf numFmtId="0" fontId="3" fillId="0" borderId="0" xfId="5" applyFont="1" applyProtection="1">
      <protection locked="0"/>
    </xf>
    <xf numFmtId="0" fontId="14" fillId="0" borderId="9" xfId="5" applyFont="1" applyBorder="1"/>
    <xf numFmtId="43" fontId="13" fillId="6" borderId="1" xfId="1" applyFont="1" applyFill="1" applyBorder="1" applyProtection="1"/>
    <xf numFmtId="43" fontId="13" fillId="0" borderId="4" xfId="1" applyFont="1" applyBorder="1" applyAlignment="1" applyProtection="1"/>
    <xf numFmtId="166" fontId="13" fillId="0" borderId="4" xfId="2" applyNumberFormat="1" applyFont="1" applyBorder="1" applyAlignment="1" applyProtection="1"/>
    <xf numFmtId="165" fontId="13" fillId="0" borderId="4" xfId="6" applyNumberFormat="1" applyFont="1" applyBorder="1" applyAlignment="1" applyProtection="1"/>
    <xf numFmtId="10" fontId="13" fillId="6" borderId="1" xfId="6" applyNumberFormat="1" applyFont="1" applyFill="1" applyBorder="1" applyAlignment="1" applyProtection="1"/>
    <xf numFmtId="0" fontId="13" fillId="0" borderId="15" xfId="5" applyFont="1" applyBorder="1"/>
    <xf numFmtId="167" fontId="0" fillId="0" borderId="0" xfId="0" applyNumberFormat="1" applyAlignment="1">
      <alignment horizontal="right"/>
    </xf>
    <xf numFmtId="165" fontId="14" fillId="0" borderId="5" xfId="6" applyNumberFormat="1" applyFont="1" applyFill="1" applyBorder="1" applyProtection="1"/>
    <xf numFmtId="0" fontId="14" fillId="6" borderId="9" xfId="5" applyFont="1" applyFill="1" applyBorder="1"/>
    <xf numFmtId="43" fontId="13" fillId="6" borderId="4" xfId="1" applyFont="1" applyFill="1" applyBorder="1" applyProtection="1"/>
    <xf numFmtId="166" fontId="13" fillId="6" borderId="4" xfId="2" applyNumberFormat="1" applyFont="1" applyFill="1" applyBorder="1" applyProtection="1"/>
    <xf numFmtId="165" fontId="13" fillId="6" borderId="4" xfId="6" applyNumberFormat="1" applyFont="1" applyFill="1" applyBorder="1" applyProtection="1"/>
    <xf numFmtId="167" fontId="13" fillId="6" borderId="4" xfId="2" applyNumberFormat="1" applyFont="1" applyFill="1" applyBorder="1" applyAlignment="1" applyProtection="1">
      <alignment horizontal="right"/>
    </xf>
    <xf numFmtId="167" fontId="13" fillId="6" borderId="5" xfId="2" applyNumberFormat="1" applyFont="1" applyFill="1" applyBorder="1" applyAlignment="1" applyProtection="1">
      <alignment horizontal="right"/>
    </xf>
    <xf numFmtId="0" fontId="13" fillId="5" borderId="9" xfId="5" applyFont="1" applyFill="1" applyBorder="1"/>
    <xf numFmtId="0" fontId="13" fillId="5" borderId="4" xfId="5" applyFont="1" applyFill="1" applyBorder="1"/>
    <xf numFmtId="0" fontId="14" fillId="5" borderId="4" xfId="5" applyFont="1" applyFill="1" applyBorder="1"/>
    <xf numFmtId="0" fontId="4" fillId="0" borderId="0" xfId="1" applyNumberFormat="1" applyFont="1" applyProtection="1">
      <protection locked="0"/>
    </xf>
    <xf numFmtId="0" fontId="4" fillId="0" borderId="0" xfId="5" applyFont="1"/>
    <xf numFmtId="0" fontId="13" fillId="5" borderId="14" xfId="5" applyFont="1" applyFill="1" applyBorder="1"/>
    <xf numFmtId="0" fontId="13" fillId="5" borderId="2" xfId="5" applyFont="1" applyFill="1" applyBorder="1"/>
    <xf numFmtId="0" fontId="14" fillId="5" borderId="2" xfId="5" applyFont="1" applyFill="1" applyBorder="1"/>
    <xf numFmtId="167" fontId="13" fillId="0" borderId="5" xfId="2" applyNumberFormat="1" applyFont="1" applyFill="1" applyBorder="1" applyAlignment="1" applyProtection="1">
      <alignment horizontal="right"/>
    </xf>
    <xf numFmtId="0" fontId="14" fillId="5" borderId="5" xfId="5" applyFont="1" applyFill="1" applyBorder="1"/>
    <xf numFmtId="5" fontId="13" fillId="6" borderId="1" xfId="1" applyNumberFormat="1" applyFont="1" applyFill="1" applyBorder="1" applyAlignment="1" applyProtection="1"/>
    <xf numFmtId="167" fontId="13" fillId="0" borderId="4" xfId="2" applyNumberFormat="1" applyFont="1" applyFill="1" applyBorder="1" applyAlignment="1" applyProtection="1">
      <alignment horizontal="right"/>
    </xf>
    <xf numFmtId="43" fontId="14" fillId="0" borderId="4" xfId="1" applyFont="1" applyBorder="1" applyAlignment="1" applyProtection="1"/>
    <xf numFmtId="166" fontId="14" fillId="0" borderId="4" xfId="2" applyNumberFormat="1" applyFont="1" applyBorder="1" applyAlignment="1" applyProtection="1"/>
    <xf numFmtId="165" fontId="14" fillId="0" borderId="4" xfId="6" applyNumberFormat="1" applyFont="1" applyBorder="1" applyAlignment="1" applyProtection="1"/>
    <xf numFmtId="4" fontId="13" fillId="6" borderId="1" xfId="1" applyNumberFormat="1" applyFont="1" applyFill="1" applyBorder="1" applyAlignment="1" applyProtection="1"/>
    <xf numFmtId="167" fontId="13" fillId="6" borderId="1" xfId="2" applyNumberFormat="1" applyFont="1" applyFill="1" applyBorder="1" applyProtection="1"/>
    <xf numFmtId="0" fontId="13" fillId="6" borderId="1" xfId="6" applyNumberFormat="1" applyFont="1" applyFill="1" applyBorder="1" applyAlignment="1" applyProtection="1"/>
    <xf numFmtId="0" fontId="3" fillId="5" borderId="0" xfId="5" applyFont="1" applyFill="1" applyProtection="1">
      <protection locked="0"/>
    </xf>
    <xf numFmtId="0" fontId="3" fillId="5" borderId="0" xfId="5" applyFont="1" applyFill="1"/>
    <xf numFmtId="0" fontId="14" fillId="0" borderId="1" xfId="5" applyFont="1" applyBorder="1"/>
    <xf numFmtId="166" fontId="13" fillId="5" borderId="1" xfId="1" applyNumberFormat="1" applyFont="1" applyFill="1" applyBorder="1" applyAlignment="1" applyProtection="1"/>
    <xf numFmtId="166" fontId="14" fillId="0" borderId="1" xfId="2" applyNumberFormat="1" applyFont="1" applyBorder="1" applyAlignment="1" applyProtection="1"/>
    <xf numFmtId="165" fontId="14" fillId="0" borderId="1" xfId="6" applyNumberFormat="1" applyFont="1" applyBorder="1" applyAlignment="1" applyProtection="1"/>
    <xf numFmtId="166" fontId="13" fillId="5" borderId="2" xfId="1" applyNumberFormat="1" applyFont="1" applyFill="1" applyBorder="1" applyAlignment="1" applyProtection="1"/>
    <xf numFmtId="166" fontId="14" fillId="5" borderId="5" xfId="2" applyNumberFormat="1" applyFont="1" applyFill="1" applyBorder="1" applyProtection="1"/>
    <xf numFmtId="43" fontId="13" fillId="6" borderId="2" xfId="1" applyFont="1" applyFill="1" applyBorder="1" applyAlignment="1" applyProtection="1"/>
    <xf numFmtId="0" fontId="13" fillId="6" borderId="5" xfId="5" applyFont="1" applyFill="1" applyBorder="1"/>
    <xf numFmtId="0" fontId="4" fillId="0" borderId="0" xfId="5" applyFont="1" applyProtection="1">
      <protection locked="0"/>
    </xf>
    <xf numFmtId="166" fontId="14" fillId="5" borderId="4" xfId="2" applyNumberFormat="1" applyFont="1" applyFill="1" applyBorder="1" applyAlignment="1" applyProtection="1"/>
    <xf numFmtId="167" fontId="14" fillId="0" borderId="1" xfId="2" applyNumberFormat="1" applyFont="1" applyFill="1" applyBorder="1" applyAlignment="1" applyProtection="1">
      <alignment horizontal="right"/>
    </xf>
    <xf numFmtId="167" fontId="13" fillId="6" borderId="5" xfId="5" applyNumberFormat="1" applyFont="1" applyFill="1" applyBorder="1" applyAlignment="1">
      <alignment horizontal="right"/>
    </xf>
    <xf numFmtId="0" fontId="13" fillId="0" borderId="5" xfId="5" applyFont="1" applyBorder="1" applyAlignment="1">
      <alignment horizontal="right"/>
    </xf>
    <xf numFmtId="0" fontId="13" fillId="6" borderId="5" xfId="5" applyFont="1" applyFill="1" applyBorder="1" applyAlignment="1">
      <alignment horizontal="right"/>
    </xf>
    <xf numFmtId="39" fontId="13" fillId="8" borderId="1" xfId="1" applyNumberFormat="1" applyFont="1" applyFill="1" applyBorder="1" applyAlignment="1" applyProtection="1"/>
    <xf numFmtId="43" fontId="13" fillId="8" borderId="1" xfId="1" applyFont="1" applyFill="1" applyBorder="1" applyProtection="1"/>
    <xf numFmtId="167" fontId="14" fillId="8" borderId="1" xfId="2" applyNumberFormat="1" applyFont="1" applyFill="1" applyBorder="1" applyAlignment="1" applyProtection="1">
      <alignment horizontal="right"/>
    </xf>
    <xf numFmtId="10" fontId="13" fillId="8" borderId="1" xfId="6" applyNumberFormat="1" applyFont="1" applyFill="1" applyBorder="1" applyProtection="1"/>
    <xf numFmtId="10" fontId="13" fillId="8" borderId="1" xfId="6" applyNumberFormat="1" applyFont="1" applyFill="1" applyBorder="1" applyAlignment="1" applyProtection="1"/>
    <xf numFmtId="10" fontId="13" fillId="8" borderId="7" xfId="6" applyNumberFormat="1" applyFont="1" applyFill="1" applyBorder="1" applyAlignment="1" applyProtection="1"/>
    <xf numFmtId="164" fontId="12" fillId="8" borderId="1" xfId="1" applyNumberFormat="1" applyFont="1" applyFill="1" applyBorder="1" applyProtection="1">
      <protection locked="0"/>
    </xf>
    <xf numFmtId="10" fontId="12" fillId="8" borderId="1" xfId="6" applyNumberFormat="1" applyFont="1" applyFill="1" applyBorder="1" applyProtection="1"/>
    <xf numFmtId="167" fontId="13" fillId="0" borderId="1" xfId="2" applyNumberFormat="1" applyFont="1" applyFill="1" applyBorder="1" applyAlignment="1" applyProtection="1">
      <alignment horizontal="right"/>
      <protection locked="0"/>
    </xf>
    <xf numFmtId="165" fontId="4" fillId="6" borderId="1" xfId="6" applyNumberFormat="1" applyFont="1" applyFill="1" applyBorder="1" applyAlignment="1" applyProtection="1">
      <alignment wrapText="1"/>
    </xf>
    <xf numFmtId="165" fontId="13" fillId="0" borderId="4" xfId="6" applyNumberFormat="1" applyFont="1" applyFill="1" applyBorder="1" applyProtection="1"/>
    <xf numFmtId="10" fontId="13" fillId="0" borderId="4" xfId="6" applyNumberFormat="1" applyFont="1" applyFill="1" applyBorder="1" applyProtection="1"/>
    <xf numFmtId="43" fontId="13" fillId="0" borderId="4" xfId="1" applyFont="1" applyFill="1" applyBorder="1" applyProtection="1"/>
    <xf numFmtId="165" fontId="4" fillId="6" borderId="9" xfId="6" applyNumberFormat="1" applyFont="1" applyFill="1" applyBorder="1" applyAlignment="1" applyProtection="1">
      <alignment horizontal="center" wrapText="1"/>
    </xf>
    <xf numFmtId="0" fontId="12" fillId="0" borderId="9" xfId="5" applyFont="1" applyBorder="1"/>
    <xf numFmtId="0" fontId="12" fillId="0" borderId="4" xfId="5" applyFont="1" applyBorder="1"/>
    <xf numFmtId="2" fontId="13" fillId="0" borderId="4" xfId="1" applyNumberFormat="1" applyFont="1" applyBorder="1" applyProtection="1"/>
    <xf numFmtId="2" fontId="13" fillId="8" borderId="1" xfId="1" applyNumberFormat="1" applyFont="1" applyFill="1" applyBorder="1" applyProtection="1"/>
    <xf numFmtId="165" fontId="4" fillId="0" borderId="1" xfId="6" applyNumberFormat="1" applyFont="1" applyFill="1" applyBorder="1" applyAlignment="1" applyProtection="1">
      <alignment horizontal="center" wrapText="1"/>
    </xf>
    <xf numFmtId="0" fontId="14" fillId="0" borderId="5" xfId="5" applyFont="1" applyBorder="1"/>
    <xf numFmtId="0" fontId="21" fillId="0" borderId="1" xfId="4" applyFont="1" applyBorder="1" applyAlignment="1">
      <alignment horizontal="center" vertical="center"/>
    </xf>
    <xf numFmtId="2" fontId="13" fillId="8" borderId="1" xfId="1" applyNumberFormat="1" applyFont="1" applyFill="1" applyBorder="1" applyAlignment="1" applyProtection="1"/>
    <xf numFmtId="167" fontId="13" fillId="8" borderId="1" xfId="2" applyNumberFormat="1" applyFont="1" applyFill="1" applyBorder="1" applyProtection="1"/>
    <xf numFmtId="43" fontId="13" fillId="0" borderId="1" xfId="1" applyFont="1" applyFill="1" applyBorder="1" applyProtection="1">
      <protection locked="0"/>
    </xf>
    <xf numFmtId="167" fontId="13" fillId="0" borderId="1" xfId="2" applyNumberFormat="1" applyFont="1" applyFill="1" applyBorder="1" applyProtection="1">
      <protection locked="0"/>
    </xf>
    <xf numFmtId="10" fontId="13" fillId="6" borderId="5" xfId="6" applyNumberFormat="1" applyFont="1" applyFill="1" applyBorder="1" applyAlignment="1" applyProtection="1"/>
    <xf numFmtId="43" fontId="3" fillId="6" borderId="1" xfId="1" applyFont="1" applyFill="1" applyBorder="1" applyAlignment="1" applyProtection="1"/>
    <xf numFmtId="0" fontId="13" fillId="0" borderId="16" xfId="5" applyFont="1" applyBorder="1" applyProtection="1">
      <protection locked="0"/>
    </xf>
    <xf numFmtId="0" fontId="10" fillId="0" borderId="17" xfId="3" applyFont="1" applyBorder="1" applyAlignment="1" applyProtection="1">
      <alignment wrapText="1"/>
      <protection locked="0"/>
    </xf>
    <xf numFmtId="0" fontId="10" fillId="0" borderId="17" xfId="3" applyFont="1" applyBorder="1" applyAlignment="1">
      <alignment wrapText="1"/>
    </xf>
    <xf numFmtId="10" fontId="13" fillId="8" borderId="1" xfId="6" applyNumberFormat="1" applyFont="1" applyFill="1" applyBorder="1" applyProtection="1">
      <protection locked="0"/>
    </xf>
    <xf numFmtId="10" fontId="13" fillId="8" borderId="13" xfId="6" applyNumberFormat="1" applyFont="1" applyFill="1" applyBorder="1" applyProtection="1">
      <protection locked="0"/>
    </xf>
    <xf numFmtId="10" fontId="13" fillId="8" borderId="7" xfId="6" applyNumberFormat="1" applyFont="1" applyFill="1" applyBorder="1" applyAlignment="1" applyProtection="1">
      <protection locked="0"/>
    </xf>
    <xf numFmtId="10" fontId="13" fillId="8" borderId="1" xfId="6" applyNumberFormat="1" applyFont="1" applyFill="1" applyBorder="1" applyAlignment="1" applyProtection="1">
      <protection locked="0"/>
    </xf>
    <xf numFmtId="166" fontId="1" fillId="0" borderId="0" xfId="2" applyNumberFormat="1" applyFont="1" applyFill="1" applyAlignment="1">
      <alignment horizontal="right"/>
    </xf>
    <xf numFmtId="0" fontId="1" fillId="12" borderId="1" xfId="0" applyFont="1" applyFill="1" applyBorder="1" applyAlignment="1">
      <alignment horizontal="center" wrapText="1"/>
    </xf>
    <xf numFmtId="43" fontId="1" fillId="12" borderId="1" xfId="1" applyFont="1" applyFill="1" applyBorder="1" applyAlignment="1">
      <alignment horizontal="center" wrapText="1"/>
    </xf>
    <xf numFmtId="0" fontId="1" fillId="12" borderId="1" xfId="2" applyNumberFormat="1" applyFont="1" applyFill="1" applyBorder="1" applyAlignment="1">
      <alignment horizontal="center" wrapText="1"/>
    </xf>
    <xf numFmtId="166" fontId="1" fillId="12" borderId="1" xfId="2" applyNumberFormat="1" applyFont="1" applyFill="1" applyBorder="1" applyAlignment="1">
      <alignment horizontal="center" wrapText="1"/>
    </xf>
    <xf numFmtId="0" fontId="29" fillId="2" borderId="1" xfId="0" applyFont="1" applyFill="1" applyBorder="1"/>
    <xf numFmtId="43" fontId="29" fillId="2" borderId="1" xfId="1" applyFont="1" applyFill="1" applyBorder="1"/>
    <xf numFmtId="0" fontId="29" fillId="2" borderId="1" xfId="2" applyNumberFormat="1" applyFont="1" applyFill="1" applyBorder="1" applyAlignment="1">
      <alignment horizontal="right"/>
    </xf>
    <xf numFmtId="166" fontId="29" fillId="2" borderId="1" xfId="2" applyNumberFormat="1" applyFont="1" applyFill="1" applyBorder="1"/>
    <xf numFmtId="0" fontId="0" fillId="0" borderId="1" xfId="0" applyBorder="1" applyProtection="1">
      <protection locked="0"/>
    </xf>
    <xf numFmtId="0" fontId="0" fillId="0" borderId="1" xfId="2" applyNumberFormat="1" applyFont="1" applyBorder="1" applyAlignment="1" applyProtection="1">
      <alignment horizontal="right"/>
      <protection locked="0"/>
    </xf>
    <xf numFmtId="166" fontId="0" fillId="14" borderId="1" xfId="0" applyNumberFormat="1" applyFill="1" applyBorder="1" applyProtection="1">
      <protection locked="0"/>
    </xf>
    <xf numFmtId="166" fontId="2" fillId="15" borderId="1" xfId="2" applyNumberFormat="1" applyFill="1" applyBorder="1" applyProtection="1">
      <protection locked="0"/>
    </xf>
    <xf numFmtId="166" fontId="2" fillId="16" borderId="1" xfId="2" applyNumberFormat="1" applyFill="1" applyBorder="1" applyProtection="1">
      <protection locked="0"/>
    </xf>
    <xf numFmtId="166" fontId="0" fillId="14" borderId="7" xfId="0" applyNumberFormat="1" applyFill="1" applyBorder="1" applyProtection="1">
      <protection locked="0"/>
    </xf>
    <xf numFmtId="0" fontId="1" fillId="0" borderId="1" xfId="0" applyFont="1" applyBorder="1" applyProtection="1">
      <protection locked="0"/>
    </xf>
    <xf numFmtId="43" fontId="1" fillId="0" borderId="1" xfId="1" applyFont="1" applyBorder="1" applyProtection="1">
      <protection locked="0"/>
    </xf>
    <xf numFmtId="0" fontId="2" fillId="0" borderId="1" xfId="0" applyFont="1" applyBorder="1" applyProtection="1">
      <protection locked="0"/>
    </xf>
    <xf numFmtId="0" fontId="30" fillId="0" borderId="4" xfId="0" applyFont="1" applyBorder="1" applyAlignment="1" applyProtection="1">
      <alignment horizontal="center"/>
      <protection locked="0"/>
    </xf>
    <xf numFmtId="166" fontId="2" fillId="0" borderId="1" xfId="2" applyNumberFormat="1" applyBorder="1"/>
    <xf numFmtId="43" fontId="4" fillId="0" borderId="0" xfId="1" applyFont="1" applyFill="1" applyBorder="1"/>
    <xf numFmtId="0" fontId="2" fillId="0" borderId="0" xfId="2" applyNumberFormat="1"/>
    <xf numFmtId="169" fontId="10" fillId="0" borderId="17" xfId="3" applyNumberFormat="1" applyFont="1" applyBorder="1" applyAlignment="1">
      <alignment horizontal="center" wrapText="1"/>
    </xf>
    <xf numFmtId="169" fontId="10" fillId="0" borderId="1" xfId="3" applyNumberFormat="1" applyFont="1" applyBorder="1" applyAlignment="1">
      <alignment horizontal="center" wrapText="1"/>
    </xf>
    <xf numFmtId="169" fontId="10" fillId="0" borderId="27" xfId="3" applyNumberFormat="1" applyFont="1" applyBorder="1" applyAlignment="1">
      <alignment horizontal="center" wrapText="1"/>
    </xf>
    <xf numFmtId="0" fontId="10" fillId="2" borderId="20" xfId="3" applyFont="1" applyFill="1" applyBorder="1" applyAlignment="1">
      <alignment wrapText="1"/>
    </xf>
    <xf numFmtId="43" fontId="10" fillId="0" borderId="1" xfId="3" applyNumberFormat="1" applyFont="1" applyBorder="1" applyAlignment="1" applyProtection="1">
      <alignment horizontal="left" wrapText="1"/>
      <protection locked="0"/>
    </xf>
    <xf numFmtId="167" fontId="10" fillId="9" borderId="3" xfId="0" applyNumberFormat="1" applyFont="1" applyFill="1" applyBorder="1" applyAlignment="1">
      <alignment horizontal="right" vertical="top" wrapText="1"/>
    </xf>
    <xf numFmtId="167" fontId="9" fillId="9" borderId="3" xfId="3" applyNumberFormat="1" applyFont="1" applyFill="1" applyBorder="1" applyAlignment="1">
      <alignment vertical="top" wrapText="1"/>
    </xf>
    <xf numFmtId="0" fontId="10" fillId="9" borderId="3" xfId="3" applyFont="1" applyFill="1" applyBorder="1" applyAlignment="1">
      <alignment horizontal="center" vertical="top" wrapText="1"/>
    </xf>
    <xf numFmtId="0" fontId="21" fillId="6" borderId="9" xfId="4" applyFont="1" applyFill="1" applyBorder="1" applyAlignment="1">
      <alignment horizontal="right" vertical="center"/>
    </xf>
    <xf numFmtId="0" fontId="21" fillId="6" borderId="5" xfId="4" applyFont="1" applyFill="1" applyBorder="1" applyAlignment="1">
      <alignment horizontal="right" vertical="center"/>
    </xf>
    <xf numFmtId="0" fontId="4" fillId="6" borderId="9" xfId="5" applyFont="1" applyFill="1" applyBorder="1" applyAlignment="1">
      <alignment horizontal="center"/>
    </xf>
    <xf numFmtId="0" fontId="4" fillId="6" borderId="4" xfId="5" applyFont="1" applyFill="1" applyBorder="1" applyAlignment="1">
      <alignment horizontal="center"/>
    </xf>
    <xf numFmtId="0" fontId="4" fillId="6" borderId="5" xfId="5" applyFont="1" applyFill="1" applyBorder="1" applyAlignment="1">
      <alignment horizontal="center"/>
    </xf>
    <xf numFmtId="0" fontId="21" fillId="0" borderId="11" xfId="4" applyFont="1" applyBorder="1" applyAlignment="1">
      <alignment horizontal="left" vertical="center"/>
    </xf>
    <xf numFmtId="0" fontId="30" fillId="13" borderId="9" xfId="0" applyFont="1" applyFill="1" applyBorder="1" applyAlignment="1" applyProtection="1">
      <alignment horizontal="center"/>
      <protection locked="0"/>
    </xf>
    <xf numFmtId="0" fontId="30" fillId="13" borderId="4" xfId="0" applyFont="1" applyFill="1" applyBorder="1" applyAlignment="1" applyProtection="1">
      <alignment horizontal="center"/>
      <protection locked="0"/>
    </xf>
    <xf numFmtId="0" fontId="30" fillId="13" borderId="5" xfId="0" applyFont="1" applyFill="1" applyBorder="1" applyAlignment="1" applyProtection="1">
      <alignment horizontal="center"/>
      <protection locked="0"/>
    </xf>
    <xf numFmtId="0" fontId="13" fillId="0" borderId="9" xfId="5" applyFont="1" applyBorder="1" applyAlignment="1" applyProtection="1">
      <alignment horizontal="left"/>
      <protection locked="0"/>
    </xf>
    <xf numFmtId="0" fontId="13" fillId="0" borderId="4" xfId="5" applyFont="1" applyBorder="1" applyAlignment="1" applyProtection="1">
      <alignment horizontal="left"/>
      <protection locked="0"/>
    </xf>
    <xf numFmtId="0" fontId="13" fillId="0" borderId="5" xfId="5" applyFont="1" applyBorder="1" applyAlignment="1" applyProtection="1">
      <alignment horizontal="left"/>
      <protection locked="0"/>
    </xf>
    <xf numFmtId="0" fontId="13" fillId="5" borderId="9" xfId="5" applyFont="1" applyFill="1" applyBorder="1" applyAlignment="1">
      <alignment horizontal="left"/>
    </xf>
    <xf numFmtId="0" fontId="13" fillId="5" borderId="4" xfId="5" applyFont="1" applyFill="1" applyBorder="1" applyAlignment="1">
      <alignment horizontal="left"/>
    </xf>
    <xf numFmtId="0" fontId="13" fillId="5" borderId="5" xfId="5" applyFont="1" applyFill="1" applyBorder="1" applyAlignment="1">
      <alignment horizontal="left"/>
    </xf>
    <xf numFmtId="0" fontId="14" fillId="5" borderId="9" xfId="5" applyFont="1" applyFill="1" applyBorder="1" applyAlignment="1">
      <alignment horizontal="left"/>
    </xf>
    <xf numFmtId="0" fontId="14" fillId="5" borderId="4" xfId="5" applyFont="1" applyFill="1" applyBorder="1" applyAlignment="1">
      <alignment horizontal="left"/>
    </xf>
    <xf numFmtId="0" fontId="14" fillId="5" borderId="5" xfId="5" applyFont="1" applyFill="1" applyBorder="1" applyAlignment="1">
      <alignment horizontal="left"/>
    </xf>
    <xf numFmtId="0" fontId="14" fillId="0" borderId="9" xfId="5" applyFont="1" applyBorder="1" applyAlignment="1">
      <alignment horizontal="left"/>
    </xf>
    <xf numFmtId="0" fontId="14" fillId="0" borderId="4" xfId="5" applyFont="1" applyBorder="1" applyAlignment="1">
      <alignment horizontal="left"/>
    </xf>
    <xf numFmtId="0" fontId="14" fillId="0" borderId="5" xfId="5" applyFont="1" applyBorder="1" applyAlignment="1">
      <alignment horizontal="left"/>
    </xf>
    <xf numFmtId="0" fontId="4" fillId="8" borderId="36" xfId="3" applyFont="1" applyFill="1" applyBorder="1" applyAlignment="1">
      <alignment horizontal="center"/>
    </xf>
    <xf numFmtId="0" fontId="4" fillId="8" borderId="37" xfId="3" applyFont="1" applyFill="1" applyBorder="1" applyAlignment="1">
      <alignment horizontal="center"/>
    </xf>
    <xf numFmtId="0" fontId="4" fillId="8" borderId="35" xfId="3" applyFont="1" applyFill="1" applyBorder="1" applyAlignment="1">
      <alignment horizontal="left"/>
    </xf>
    <xf numFmtId="0" fontId="10" fillId="2" borderId="4" xfId="3" applyFont="1" applyFill="1" applyBorder="1" applyAlignment="1">
      <alignment horizontal="center" wrapText="1"/>
    </xf>
    <xf numFmtId="0" fontId="10" fillId="2" borderId="18" xfId="3" applyFont="1" applyFill="1" applyBorder="1" applyAlignment="1">
      <alignment horizontal="center" wrapText="1"/>
    </xf>
    <xf numFmtId="0" fontId="10" fillId="2" borderId="16" xfId="3" applyFont="1" applyFill="1" applyBorder="1" applyAlignment="1">
      <alignment horizontal="left"/>
    </xf>
    <xf numFmtId="0" fontId="10" fillId="0" borderId="9" xfId="3" applyFont="1" applyBorder="1" applyAlignment="1" applyProtection="1">
      <alignment wrapText="1"/>
      <protection locked="0"/>
    </xf>
    <xf numFmtId="0" fontId="10" fillId="0" borderId="4" xfId="3" applyFont="1" applyBorder="1" applyAlignment="1" applyProtection="1">
      <alignment wrapText="1"/>
      <protection locked="0"/>
    </xf>
    <xf numFmtId="0" fontId="10" fillId="0" borderId="18" xfId="3" applyFont="1" applyBorder="1" applyAlignment="1" applyProtection="1">
      <alignment wrapText="1"/>
      <protection locked="0"/>
    </xf>
    <xf numFmtId="0" fontId="10" fillId="2" borderId="19" xfId="3" applyFont="1" applyFill="1" applyBorder="1"/>
    <xf numFmtId="0" fontId="10" fillId="0" borderId="38" xfId="3" applyFont="1" applyBorder="1" applyAlignment="1">
      <alignment horizontal="center" wrapText="1"/>
    </xf>
    <xf numFmtId="0" fontId="10" fillId="0" borderId="39" xfId="3" applyFont="1" applyBorder="1" applyAlignment="1">
      <alignment horizontal="center" wrapText="1"/>
    </xf>
    <xf numFmtId="0" fontId="10" fillId="0" borderId="40" xfId="3" applyFont="1" applyBorder="1" applyAlignment="1">
      <alignment horizontal="center" wrapText="1"/>
    </xf>
    <xf numFmtId="0" fontId="10" fillId="10" borderId="20" xfId="3" applyFont="1" applyFill="1" applyBorder="1" applyAlignment="1">
      <alignment wrapText="1"/>
    </xf>
    <xf numFmtId="0" fontId="10" fillId="10" borderId="8" xfId="3" applyFont="1" applyFill="1" applyBorder="1" applyAlignment="1">
      <alignment wrapText="1"/>
    </xf>
    <xf numFmtId="0" fontId="10" fillId="10" borderId="19" xfId="3" applyFont="1" applyFill="1" applyBorder="1"/>
    <xf numFmtId="0" fontId="10" fillId="8" borderId="19" xfId="3" applyFont="1" applyFill="1" applyBorder="1"/>
    <xf numFmtId="0" fontId="10" fillId="8" borderId="20" xfId="3" applyFont="1" applyFill="1" applyBorder="1"/>
    <xf numFmtId="0" fontId="10" fillId="8" borderId="8" xfId="3" applyFont="1" applyFill="1" applyBorder="1"/>
    <xf numFmtId="0" fontId="10" fillId="3" borderId="19" xfId="3" applyFont="1" applyFill="1" applyBorder="1"/>
    <xf numFmtId="0" fontId="10" fillId="3" borderId="20" xfId="3" applyFont="1" applyFill="1" applyBorder="1"/>
    <xf numFmtId="0" fontId="10" fillId="3" borderId="8" xfId="3" applyFont="1" applyFill="1" applyBorder="1"/>
    <xf numFmtId="0" fontId="10" fillId="4" borderId="19" xfId="3" applyFont="1" applyFill="1" applyBorder="1"/>
    <xf numFmtId="0" fontId="10" fillId="4" borderId="20" xfId="3" applyFont="1" applyFill="1" applyBorder="1"/>
    <xf numFmtId="0" fontId="10" fillId="4" borderId="8" xfId="3" applyFont="1" applyFill="1" applyBorder="1"/>
    <xf numFmtId="0" fontId="10" fillId="9" borderId="19" xfId="3" applyFont="1" applyFill="1" applyBorder="1"/>
    <xf numFmtId="0" fontId="10" fillId="9" borderId="20" xfId="3" applyFont="1" applyFill="1" applyBorder="1"/>
    <xf numFmtId="0" fontId="10" fillId="9" borderId="8" xfId="3" applyFont="1" applyFill="1" applyBorder="1"/>
    <xf numFmtId="3" fontId="10" fillId="10" borderId="23" xfId="0" applyNumberFormat="1" applyFont="1" applyFill="1" applyBorder="1" applyAlignment="1" applyProtection="1">
      <alignment horizontal="right"/>
      <protection locked="0"/>
    </xf>
    <xf numFmtId="0" fontId="10" fillId="2" borderId="3" xfId="3" applyFont="1" applyFill="1" applyBorder="1" applyAlignment="1">
      <alignment wrapText="1"/>
    </xf>
    <xf numFmtId="0" fontId="10" fillId="2" borderId="25" xfId="3" applyFont="1" applyFill="1" applyBorder="1" applyAlignment="1">
      <alignment vertical="center" wrapText="1"/>
    </xf>
    <xf numFmtId="0" fontId="10" fillId="2" borderId="26" xfId="3" applyFont="1" applyFill="1" applyBorder="1" applyAlignment="1">
      <alignment vertical="center" wrapText="1"/>
    </xf>
    <xf numFmtId="0" fontId="10" fillId="2" borderId="24" xfId="3" applyFont="1" applyFill="1" applyBorder="1" applyAlignment="1">
      <alignment vertical="center"/>
    </xf>
    <xf numFmtId="0" fontId="10" fillId="2" borderId="25" xfId="3" applyFont="1" applyFill="1" applyBorder="1" applyAlignment="1">
      <alignment vertical="center"/>
    </xf>
    <xf numFmtId="0" fontId="10" fillId="2" borderId="26" xfId="3" applyFont="1" applyFill="1" applyBorder="1" applyAlignment="1">
      <alignment vertical="center"/>
    </xf>
    <xf numFmtId="0" fontId="10" fillId="17" borderId="0" xfId="3" applyFont="1" applyFill="1" applyAlignment="1">
      <alignment vertical="center"/>
    </xf>
    <xf numFmtId="0" fontId="10" fillId="9" borderId="20" xfId="3" applyFont="1" applyFill="1" applyBorder="1" applyAlignment="1">
      <alignment horizontal="left" vertical="top" wrapText="1"/>
    </xf>
    <xf numFmtId="0" fontId="10" fillId="9" borderId="8" xfId="3" applyFont="1" applyFill="1" applyBorder="1" applyAlignment="1">
      <alignment horizontal="left" vertical="top" wrapText="1"/>
    </xf>
    <xf numFmtId="0" fontId="10" fillId="9" borderId="19" xfId="3" applyFont="1" applyFill="1" applyBorder="1" applyAlignment="1">
      <alignment horizontal="left" vertical="top"/>
    </xf>
    <xf numFmtId="0" fontId="22" fillId="0" borderId="0" xfId="4" applyFont="1" applyAlignment="1">
      <alignment vertical="center"/>
    </xf>
    <xf numFmtId="43" fontId="31" fillId="0" borderId="0" xfId="1" applyFont="1" applyProtection="1"/>
    <xf numFmtId="0" fontId="10" fillId="0" borderId="0" xfId="0" applyFont="1" applyAlignment="1">
      <alignment horizontal="center"/>
    </xf>
    <xf numFmtId="0" fontId="10" fillId="0" borderId="0" xfId="0" applyFont="1"/>
    <xf numFmtId="0" fontId="9" fillId="0" borderId="0" xfId="0" applyFont="1"/>
    <xf numFmtId="0" fontId="9" fillId="0" borderId="0" xfId="0" applyFont="1" applyAlignment="1">
      <alignment horizontal="left" indent="2"/>
    </xf>
    <xf numFmtId="0" fontId="15" fillId="0" borderId="0" xfId="0" applyFont="1" applyProtection="1">
      <protection locked="0"/>
    </xf>
    <xf numFmtId="170" fontId="9" fillId="0" borderId="24" xfId="3" applyNumberFormat="1" applyFont="1" applyBorder="1" applyAlignment="1">
      <alignment horizontal="left" vertical="top" wrapText="1"/>
    </xf>
    <xf numFmtId="170" fontId="9" fillId="0" borderId="25" xfId="3" applyNumberFormat="1" applyFont="1" applyBorder="1" applyAlignment="1">
      <alignment horizontal="left" vertical="top" wrapText="1"/>
    </xf>
    <xf numFmtId="170" fontId="9" fillId="0" borderId="26" xfId="3" applyNumberFormat="1" applyFont="1" applyBorder="1" applyAlignment="1">
      <alignment horizontal="left" vertical="top" wrapText="1"/>
    </xf>
    <xf numFmtId="170" fontId="9" fillId="0" borderId="28" xfId="3" applyNumberFormat="1" applyFont="1" applyBorder="1" applyAlignment="1">
      <alignment horizontal="left" vertical="top" wrapText="1"/>
    </xf>
    <xf numFmtId="170" fontId="9" fillId="0" borderId="0" xfId="3" applyNumberFormat="1" applyFont="1" applyAlignment="1">
      <alignment horizontal="left" vertical="top" wrapText="1"/>
    </xf>
    <xf numFmtId="170" fontId="9" fillId="0" borderId="29" xfId="3" applyNumberFormat="1" applyFont="1" applyBorder="1" applyAlignment="1">
      <alignment horizontal="left" vertical="top" wrapText="1"/>
    </xf>
    <xf numFmtId="0" fontId="10" fillId="0" borderId="9" xfId="3" applyFont="1" applyBorder="1" applyAlignment="1" applyProtection="1">
      <alignment horizontal="center" wrapText="1"/>
      <protection locked="0"/>
    </xf>
    <xf numFmtId="0" fontId="10" fillId="0" borderId="4" xfId="3" applyFont="1" applyBorder="1" applyAlignment="1" applyProtection="1">
      <alignment horizontal="center" wrapText="1"/>
      <protection locked="0"/>
    </xf>
    <xf numFmtId="0" fontId="10" fillId="0" borderId="18" xfId="3" applyFont="1" applyBorder="1" applyAlignment="1" applyProtection="1">
      <alignment horizontal="center" wrapText="1"/>
      <protection locked="0"/>
    </xf>
    <xf numFmtId="0" fontId="3" fillId="0" borderId="0" xfId="3" applyFont="1" applyAlignment="1">
      <alignment horizontal="left" wrapText="1"/>
    </xf>
    <xf numFmtId="0" fontId="10" fillId="9" borderId="19" xfId="3" applyFont="1" applyFill="1" applyBorder="1" applyAlignment="1">
      <alignment wrapText="1"/>
    </xf>
    <xf numFmtId="0" fontId="10" fillId="9" borderId="20" xfId="3" applyFont="1" applyFill="1" applyBorder="1" applyAlignment="1">
      <alignment wrapText="1"/>
    </xf>
    <xf numFmtId="0" fontId="10" fillId="9" borderId="8" xfId="3" applyFont="1" applyFill="1" applyBorder="1" applyAlignment="1">
      <alignment wrapText="1"/>
    </xf>
    <xf numFmtId="167" fontId="10" fillId="9" borderId="19" xfId="3" applyNumberFormat="1" applyFont="1" applyFill="1" applyBorder="1" applyAlignment="1">
      <alignment horizontal="right"/>
    </xf>
    <xf numFmtId="167" fontId="10" fillId="9" borderId="8" xfId="3" applyNumberFormat="1" applyFont="1" applyFill="1" applyBorder="1" applyAlignment="1">
      <alignment horizontal="right"/>
    </xf>
    <xf numFmtId="49" fontId="9" fillId="0" borderId="21" xfId="0" applyNumberFormat="1" applyFont="1" applyBorder="1" applyAlignment="1">
      <alignment horizontal="left" wrapText="1"/>
    </xf>
    <xf numFmtId="49" fontId="9" fillId="0" borderId="22" xfId="0" applyNumberFormat="1" applyFont="1" applyBorder="1" applyAlignment="1">
      <alignment horizontal="left" wrapText="1"/>
    </xf>
    <xf numFmtId="49" fontId="9" fillId="0" borderId="23" xfId="0" applyNumberFormat="1" applyFont="1" applyBorder="1" applyAlignment="1">
      <alignment horizontal="left" wrapText="1"/>
    </xf>
    <xf numFmtId="0" fontId="21" fillId="0" borderId="9" xfId="4" applyFont="1" applyBorder="1" applyAlignment="1">
      <alignment horizontal="center" vertical="center"/>
    </xf>
    <xf numFmtId="0" fontId="21" fillId="0" borderId="4" xfId="4" applyFont="1" applyBorder="1" applyAlignment="1">
      <alignment horizontal="center" vertical="center"/>
    </xf>
    <xf numFmtId="0" fontId="21" fillId="0" borderId="5" xfId="4" applyFont="1" applyBorder="1" applyAlignment="1">
      <alignment horizontal="center" vertical="center"/>
    </xf>
    <xf numFmtId="0" fontId="10" fillId="0" borderId="1" xfId="4" applyFont="1" applyBorder="1" applyAlignment="1">
      <alignment horizontal="center"/>
    </xf>
    <xf numFmtId="0" fontId="19" fillId="6" borderId="1" xfId="4" applyFont="1" applyFill="1" applyBorder="1" applyAlignment="1">
      <alignment horizontal="center"/>
    </xf>
    <xf numFmtId="49" fontId="21" fillId="0" borderId="10" xfId="4" applyNumberFormat="1" applyFont="1" applyBorder="1" applyAlignment="1" applyProtection="1">
      <alignment horizontal="left" vertical="center" wrapText="1"/>
      <protection locked="0"/>
    </xf>
    <xf numFmtId="49" fontId="21" fillId="0" borderId="11" xfId="4" applyNumberFormat="1" applyFont="1" applyBorder="1" applyAlignment="1" applyProtection="1">
      <alignment horizontal="left" vertical="center" wrapText="1"/>
      <protection locked="0"/>
    </xf>
    <xf numFmtId="49" fontId="21" fillId="0" borderId="12" xfId="4" applyNumberFormat="1" applyFont="1" applyBorder="1" applyAlignment="1" applyProtection="1">
      <alignment horizontal="left" vertical="center" wrapText="1"/>
      <protection locked="0"/>
    </xf>
    <xf numFmtId="49" fontId="21" fillId="0" borderId="14" xfId="4" applyNumberFormat="1" applyFont="1" applyBorder="1" applyAlignment="1" applyProtection="1">
      <alignment horizontal="left" vertical="center" wrapText="1"/>
      <protection locked="0"/>
    </xf>
    <xf numFmtId="49" fontId="21" fillId="0" borderId="2" xfId="4" applyNumberFormat="1" applyFont="1" applyBorder="1" applyAlignment="1" applyProtection="1">
      <alignment horizontal="left" vertical="center" wrapText="1"/>
      <protection locked="0"/>
    </xf>
    <xf numFmtId="49" fontId="21" fillId="0" borderId="6" xfId="4" applyNumberFormat="1" applyFont="1" applyBorder="1" applyAlignment="1" applyProtection="1">
      <alignment horizontal="left" vertical="center" wrapText="1"/>
      <protection locked="0"/>
    </xf>
    <xf numFmtId="0" fontId="21" fillId="6" borderId="13" xfId="4" applyFont="1" applyFill="1" applyBorder="1" applyAlignment="1">
      <alignment horizontal="center" vertical="center"/>
    </xf>
    <xf numFmtId="0" fontId="21" fillId="6" borderId="7" xfId="4" applyFont="1" applyFill="1" applyBorder="1" applyAlignment="1">
      <alignment horizontal="center" vertical="center"/>
    </xf>
    <xf numFmtId="43" fontId="15" fillId="0" borderId="1" xfId="4" applyNumberFormat="1" applyFont="1" applyBorder="1"/>
    <xf numFmtId="0" fontId="15" fillId="0" borderId="1" xfId="4" applyFont="1" applyBorder="1"/>
    <xf numFmtId="0" fontId="21" fillId="7" borderId="1" xfId="4" applyFont="1" applyFill="1" applyBorder="1" applyAlignment="1">
      <alignment horizontal="center" vertical="center"/>
    </xf>
    <xf numFmtId="0" fontId="23" fillId="0" borderId="13" xfId="4" applyFont="1" applyBorder="1" applyAlignment="1">
      <alignment horizontal="center" vertical="center" textRotation="90" wrapText="1"/>
    </xf>
    <xf numFmtId="0" fontId="23" fillId="0" borderId="30" xfId="4" applyFont="1" applyBorder="1" applyAlignment="1">
      <alignment horizontal="center" vertical="center" textRotation="90" wrapText="1"/>
    </xf>
    <xf numFmtId="0" fontId="23" fillId="0" borderId="7" xfId="4" applyFont="1" applyBorder="1" applyAlignment="1">
      <alignment horizontal="center" vertical="center" textRotation="90" wrapText="1"/>
    </xf>
    <xf numFmtId="0" fontId="21" fillId="0" borderId="1" xfId="4" applyFont="1" applyBorder="1" applyAlignment="1">
      <alignment horizontal="left" vertical="center"/>
    </xf>
    <xf numFmtId="0" fontId="21" fillId="6" borderId="14" xfId="4" applyFont="1" applyFill="1" applyBorder="1" applyAlignment="1">
      <alignment horizontal="right" vertical="center"/>
    </xf>
    <xf numFmtId="0" fontId="21" fillId="6" borderId="6" xfId="4" applyFont="1" applyFill="1" applyBorder="1" applyAlignment="1">
      <alignment horizontal="right" vertical="center"/>
    </xf>
    <xf numFmtId="1" fontId="21" fillId="0" borderId="9" xfId="4" applyNumberFormat="1" applyFont="1" applyBorder="1" applyAlignment="1" applyProtection="1">
      <alignment horizontal="center" vertical="center"/>
      <protection locked="0"/>
    </xf>
    <xf numFmtId="1" fontId="21" fillId="0" borderId="4" xfId="4" applyNumberFormat="1" applyFont="1" applyBorder="1" applyAlignment="1" applyProtection="1">
      <alignment horizontal="center" vertical="center"/>
      <protection locked="0"/>
    </xf>
    <xf numFmtId="1" fontId="21" fillId="0" borderId="5" xfId="4" applyNumberFormat="1" applyFont="1" applyBorder="1" applyAlignment="1" applyProtection="1">
      <alignment horizontal="center" vertical="center"/>
      <protection locked="0"/>
    </xf>
    <xf numFmtId="0" fontId="15" fillId="0" borderId="1" xfId="4" applyFont="1" applyBorder="1" applyAlignment="1">
      <alignment horizontal="left" wrapText="1"/>
    </xf>
    <xf numFmtId="0" fontId="15" fillId="0" borderId="9" xfId="4" applyFont="1" applyBorder="1" applyAlignment="1">
      <alignment horizontal="left" vertical="top" wrapText="1"/>
    </xf>
    <xf numFmtId="0" fontId="15" fillId="0" borderId="4" xfId="4" applyFont="1" applyBorder="1" applyAlignment="1">
      <alignment horizontal="left" vertical="top" wrapText="1"/>
    </xf>
    <xf numFmtId="0" fontId="15" fillId="0" borderId="5" xfId="4" applyFont="1" applyBorder="1" applyAlignment="1">
      <alignment horizontal="left" vertical="top" wrapText="1"/>
    </xf>
    <xf numFmtId="164" fontId="5" fillId="12" borderId="32" xfId="1" applyNumberFormat="1" applyFont="1" applyFill="1" applyBorder="1" applyAlignment="1">
      <alignment horizontal="center"/>
    </xf>
    <xf numFmtId="164" fontId="5" fillId="12" borderId="33" xfId="1" applyNumberFormat="1" applyFont="1" applyFill="1" applyBorder="1" applyAlignment="1">
      <alignment horizontal="center"/>
    </xf>
    <xf numFmtId="164" fontId="5" fillId="12" borderId="34" xfId="1" applyNumberFormat="1" applyFont="1" applyFill="1" applyBorder="1" applyAlignment="1">
      <alignment horizontal="center"/>
    </xf>
    <xf numFmtId="0" fontId="26" fillId="11" borderId="1" xfId="5" applyFont="1" applyFill="1" applyBorder="1" applyAlignment="1">
      <alignment horizontal="center"/>
    </xf>
    <xf numFmtId="167" fontId="13" fillId="0" borderId="1" xfId="2" applyNumberFormat="1" applyFont="1" applyFill="1" applyBorder="1" applyAlignment="1" applyProtection="1">
      <alignment horizontal="right"/>
    </xf>
    <xf numFmtId="167" fontId="13" fillId="0" borderId="9" xfId="2" applyNumberFormat="1" applyFont="1" applyFill="1" applyBorder="1" applyAlignment="1" applyProtection="1">
      <alignment horizontal="right"/>
    </xf>
    <xf numFmtId="167" fontId="13" fillId="0" borderId="5" xfId="2" applyNumberFormat="1" applyFont="1" applyFill="1" applyBorder="1" applyAlignment="1" applyProtection="1">
      <alignment horizontal="right"/>
    </xf>
    <xf numFmtId="0" fontId="4" fillId="6" borderId="9" xfId="5" applyFont="1" applyFill="1" applyBorder="1" applyAlignment="1">
      <alignment horizontal="center"/>
    </xf>
    <xf numFmtId="0" fontId="4" fillId="6" borderId="4" xfId="5" applyFont="1" applyFill="1" applyBorder="1" applyAlignment="1">
      <alignment horizontal="center"/>
    </xf>
    <xf numFmtId="0" fontId="4" fillId="6" borderId="5" xfId="5" applyFont="1" applyFill="1" applyBorder="1" applyAlignment="1">
      <alignment horizontal="center"/>
    </xf>
    <xf numFmtId="166" fontId="4" fillId="6" borderId="9" xfId="2" applyNumberFormat="1" applyFont="1" applyFill="1" applyBorder="1" applyAlignment="1" applyProtection="1">
      <alignment horizontal="center" wrapText="1"/>
    </xf>
    <xf numFmtId="166" fontId="4" fillId="6" borderId="5" xfId="2" applyNumberFormat="1" applyFont="1" applyFill="1" applyBorder="1" applyAlignment="1" applyProtection="1">
      <alignment horizontal="center" wrapText="1"/>
    </xf>
    <xf numFmtId="167" fontId="14" fillId="8" borderId="9" xfId="2" applyNumberFormat="1" applyFont="1" applyFill="1" applyBorder="1" applyAlignment="1" applyProtection="1">
      <alignment horizontal="right"/>
    </xf>
    <xf numFmtId="167" fontId="14" fillId="8" borderId="5" xfId="2" applyNumberFormat="1" applyFont="1" applyFill="1" applyBorder="1" applyAlignment="1" applyProtection="1">
      <alignment horizontal="right"/>
    </xf>
    <xf numFmtId="0" fontId="17" fillId="0" borderId="1" xfId="5" applyFont="1" applyBorder="1" applyAlignment="1" applyProtection="1">
      <alignment horizontal="left"/>
      <protection locked="0"/>
    </xf>
    <xf numFmtId="43" fontId="12" fillId="0" borderId="15" xfId="1" applyFont="1" applyBorder="1" applyAlignment="1" applyProtection="1">
      <alignment horizontal="right"/>
    </xf>
    <xf numFmtId="43" fontId="12" fillId="0" borderId="31" xfId="1" applyFont="1" applyBorder="1" applyAlignment="1" applyProtection="1">
      <alignment horizontal="right"/>
    </xf>
    <xf numFmtId="43" fontId="17" fillId="0" borderId="1" xfId="5" applyNumberFormat="1" applyFont="1" applyBorder="1" applyAlignment="1">
      <alignment horizontal="left"/>
    </xf>
    <xf numFmtId="0" fontId="17" fillId="0" borderId="1" xfId="5" applyFont="1" applyBorder="1" applyAlignment="1">
      <alignment horizontal="left"/>
    </xf>
    <xf numFmtId="43" fontId="12" fillId="0" borderId="0" xfId="1" applyFont="1" applyBorder="1" applyAlignment="1" applyProtection="1">
      <alignment horizontal="right"/>
    </xf>
    <xf numFmtId="43" fontId="12" fillId="0" borderId="15" xfId="1" applyFont="1" applyFill="1" applyBorder="1" applyAlignment="1" applyProtection="1">
      <alignment horizontal="right"/>
    </xf>
    <xf numFmtId="43" fontId="12" fillId="0" borderId="31" xfId="1" applyFont="1" applyFill="1" applyBorder="1" applyAlignment="1" applyProtection="1">
      <alignment horizontal="right"/>
    </xf>
    <xf numFmtId="167" fontId="13" fillId="8" borderId="1" xfId="2" applyNumberFormat="1" applyFont="1" applyFill="1" applyBorder="1" applyAlignment="1" applyProtection="1">
      <alignment horizontal="right"/>
    </xf>
    <xf numFmtId="0" fontId="9" fillId="0" borderId="0" xfId="0" applyFont="1" applyAlignment="1" applyProtection="1">
      <alignment horizontal="left" wrapText="1"/>
      <protection locked="0"/>
    </xf>
    <xf numFmtId="0" fontId="9" fillId="0" borderId="0" xfId="0" applyFont="1" applyAlignment="1">
      <alignment horizontal="left" wrapText="1"/>
    </xf>
    <xf numFmtId="0" fontId="0" fillId="0" borderId="0" xfId="0" applyAlignment="1">
      <alignment wrapText="1"/>
    </xf>
    <xf numFmtId="0" fontId="10" fillId="0" borderId="0" xfId="0" applyFont="1" applyAlignment="1">
      <alignment horizontal="center"/>
    </xf>
    <xf numFmtId="0" fontId="10" fillId="0" borderId="0" xfId="0" applyFont="1" applyAlignment="1" applyProtection="1">
      <alignment horizontal="center"/>
      <protection locked="0"/>
    </xf>
    <xf numFmtId="0" fontId="6" fillId="0" borderId="0" xfId="0" applyFont="1" applyAlignment="1" applyProtection="1">
      <alignment horizontal="center"/>
      <protection locked="0"/>
    </xf>
    <xf numFmtId="0" fontId="9" fillId="0" borderId="0" xfId="0" applyFont="1" applyAlignment="1">
      <alignment horizontal="left"/>
    </xf>
  </cellXfs>
  <cellStyles count="7">
    <cellStyle name="Comma" xfId="1" builtinId="3"/>
    <cellStyle name="Currency" xfId="2" builtinId="4"/>
    <cellStyle name="Normal" xfId="0" builtinId="0"/>
    <cellStyle name="Normal_CACFP" xfId="3" xr:uid="{00000000-0005-0000-0000-000003000000}"/>
    <cellStyle name="Normal_director salary scale 6-20-05 matrix PROVIDER WORKGROUP" xfId="4" xr:uid="{00000000-0005-0000-0000-000004000000}"/>
    <cellStyle name="Normal_Guiding Programmatic Budgets (PILOT)" xfId="5" xr:uid="{00000000-0005-0000-0000-00000500000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139700</xdr:rowOff>
    </xdr:from>
    <xdr:to>
      <xdr:col>9</xdr:col>
      <xdr:colOff>0</xdr:colOff>
      <xdr:row>7</xdr:row>
      <xdr:rowOff>88900</xdr:rowOff>
    </xdr:to>
    <xdr:sp macro="" textlink="">
      <xdr:nvSpPr>
        <xdr:cNvPr id="2" name="TextBox 1" descr="Directions:  All center directors must accurately complete the section below.  First, under Educational Attainment, detail the highest degree(s) held including area(s) of concentration, as well as any professional certificates held.  Second, select the appropriate Tier Level from the drop-down box based on the Educational Requirements listed below.  Third, enter Years of Preschool Experience (defined as the number of years served as a preschool director).  The total number of classrooms (including those without contracted preschoolers) will automatically enter based on information provided on the 2024-25 Private Provider One-Year Planning Budget Worksheet.  All of this information should then be used to determine the recommended full-time, full-year salary for the director as per the salary scale below.">
          <a:extLst>
            <a:ext uri="{FF2B5EF4-FFF2-40B4-BE49-F238E27FC236}">
              <a16:creationId xmlns:a16="http://schemas.microsoft.com/office/drawing/2014/main" id="{11926C52-446E-1DB8-85EE-8527F25ECC90}"/>
            </a:ext>
          </a:extLst>
        </xdr:cNvPr>
        <xdr:cNvSpPr txBox="1"/>
      </xdr:nvSpPr>
      <xdr:spPr>
        <a:xfrm>
          <a:off x="0" y="647700"/>
          <a:ext cx="8356600" cy="1155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Directions:  </a:t>
          </a:r>
          <a:r>
            <a:rPr lang="en-US" sz="1100"/>
            <a:t>All center directors must accurately complete the section below.  First, under Educational Attainment, detail the highest degree(s) held including area(s) of concentration, as well as any professional certificates held.  Second, select the appropriate Tier Level from the drop-down box based on the Educational Requirements listed below.  Third, enter Years of Preschool Experience (defined as the number of years served as a preschool director).  The total number of classrooms (including those without contracted preschoolers) will automatically enter based on information provided on the 2024-25 Private Provider One-Year Planning Budget Worksheet.  All of this information should then be used to determine the recommended full-time, full-year salary for the director as per the salary scale below.</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4</xdr:row>
      <xdr:rowOff>95250</xdr:rowOff>
    </xdr:from>
    <xdr:to>
      <xdr:col>7</xdr:col>
      <xdr:colOff>843909</xdr:colOff>
      <xdr:row>13</xdr:row>
      <xdr:rowOff>49530</xdr:rowOff>
    </xdr:to>
    <xdr:sp macro="" textlink="">
      <xdr:nvSpPr>
        <xdr:cNvPr id="7169" name="Text Box 1">
          <a:extLst>
            <a:ext uri="{FF2B5EF4-FFF2-40B4-BE49-F238E27FC236}">
              <a16:creationId xmlns:a16="http://schemas.microsoft.com/office/drawing/2014/main" id="{00000000-0008-0000-0200-0000011C0000}"/>
            </a:ext>
          </a:extLst>
        </xdr:cNvPr>
        <xdr:cNvSpPr txBox="1">
          <a:spLocks noChangeArrowheads="1"/>
        </xdr:cNvSpPr>
      </xdr:nvSpPr>
      <xdr:spPr bwMode="auto">
        <a:xfrm>
          <a:off x="9525" y="990600"/>
          <a:ext cx="9134475" cy="14192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Arial"/>
              <a:cs typeface="Arial"/>
            </a:rPr>
            <a:t>DIRECTIONS:</a:t>
          </a:r>
        </a:p>
        <a:p>
          <a:pPr algn="l" rtl="0">
            <a:defRPr sz="1000"/>
          </a:pPr>
          <a:r>
            <a:rPr lang="en-US" sz="1000" b="0" i="0" strike="noStrike">
              <a:solidFill>
                <a:srgbClr val="000000"/>
              </a:solidFill>
              <a:latin typeface="Arial"/>
              <a:cs typeface="Arial"/>
            </a:rPr>
            <a:t>1. Private providers must use this form to itemize salaries, benefits, and salary step (if applicable) for </a:t>
          </a:r>
          <a:r>
            <a:rPr lang="en-US" sz="1000" b="1" i="0" u="sng" strike="noStrike">
              <a:solidFill>
                <a:srgbClr val="000000"/>
              </a:solidFill>
              <a:latin typeface="Arial"/>
              <a:cs typeface="Arial"/>
            </a:rPr>
            <a:t>all</a:t>
          </a:r>
          <a:r>
            <a:rPr lang="en-US" sz="1000" b="0" i="0" strike="noStrike">
              <a:solidFill>
                <a:srgbClr val="000000"/>
              </a:solidFill>
              <a:latin typeface="Arial"/>
              <a:cs typeface="Arial"/>
            </a:rPr>
            <a:t> state-funded positions (both Educational Program positions and Administrative/Support positions) to be funded in 2017-18.</a:t>
          </a:r>
        </a:p>
        <a:p>
          <a:pPr algn="l" rtl="0">
            <a:defRPr sz="1000"/>
          </a:pPr>
          <a:r>
            <a:rPr lang="en-US" sz="1000" b="0" i="0" strike="noStrike">
              <a:solidFill>
                <a:srgbClr val="000000"/>
              </a:solidFill>
              <a:latin typeface="Arial"/>
              <a:cs typeface="Arial"/>
            </a:rPr>
            <a:t>2. </a:t>
          </a:r>
          <a:r>
            <a:rPr lang="en-US" sz="1000" b="1" i="0" u="sng" strike="noStrike">
              <a:solidFill>
                <a:srgbClr val="000000"/>
              </a:solidFill>
              <a:latin typeface="Arial"/>
              <a:cs typeface="Arial"/>
            </a:rPr>
            <a:t>Both full-time and part-time</a:t>
          </a:r>
          <a:r>
            <a:rPr lang="en-US" sz="1000" b="0" i="0" strike="noStrike">
              <a:solidFill>
                <a:srgbClr val="000000"/>
              </a:solidFill>
              <a:latin typeface="Arial"/>
              <a:cs typeface="Arial"/>
            </a:rPr>
            <a:t> employees must be included.</a:t>
          </a:r>
        </a:p>
        <a:p>
          <a:pPr algn="l" rtl="0">
            <a:defRPr sz="1000"/>
          </a:pPr>
          <a:r>
            <a:rPr lang="en-US" sz="1000" b="0" i="0" strike="noStrike">
              <a:solidFill>
                <a:srgbClr val="000000"/>
              </a:solidFill>
              <a:latin typeface="Arial"/>
              <a:cs typeface="Arial"/>
            </a:rPr>
            <a:t>3. </a:t>
          </a:r>
          <a:r>
            <a:rPr lang="en-US" sz="1000" b="1" i="0" u="sng" strike="noStrike">
              <a:solidFill>
                <a:srgbClr val="000000"/>
              </a:solidFill>
              <a:latin typeface="Arial"/>
              <a:cs typeface="Arial"/>
            </a:rPr>
            <a:t>Full-time, school calendar year salary and benefit equivalent should be reported for all employees</a:t>
          </a:r>
          <a:r>
            <a:rPr lang="en-US" sz="1000" b="0" i="0" strike="noStrike">
              <a:solidFill>
                <a:srgbClr val="000000"/>
              </a:solidFill>
              <a:latin typeface="Arial"/>
              <a:cs typeface="Arial"/>
            </a:rPr>
            <a:t>.</a:t>
          </a:r>
        </a:p>
        <a:p>
          <a:pPr algn="l" rtl="0">
            <a:defRPr sz="1000"/>
          </a:pPr>
          <a:r>
            <a:rPr lang="en-US" sz="1000" b="0" i="0" strike="noStrike">
              <a:solidFill>
                <a:srgbClr val="000000"/>
              </a:solidFill>
              <a:latin typeface="Arial"/>
              <a:cs typeface="Arial"/>
            </a:rPr>
            <a:t>4. Do not include employees from 2016-17 who will not be employed in 2017-18.</a:t>
          </a:r>
        </a:p>
        <a:p>
          <a:pPr algn="l" rtl="0">
            <a:defRPr sz="1000"/>
          </a:pPr>
          <a:endParaRPr lang="en-US" sz="1000" b="0" i="0" strike="noStrike">
            <a:solidFill>
              <a:srgbClr val="000000"/>
            </a:solidFill>
            <a:latin typeface="Arial"/>
            <a:cs typeface="Arial"/>
          </a:endParaRPr>
        </a:p>
        <a:p>
          <a:pPr algn="l" rtl="0">
            <a:defRPr sz="1000"/>
          </a:pPr>
          <a:r>
            <a:rPr lang="en-US" sz="800" b="0" i="0" strike="noStrike">
              <a:solidFill>
                <a:srgbClr val="000000"/>
              </a:solidFill>
              <a:latin typeface="Arial"/>
              <a:cs typeface="Arial"/>
            </a:rPr>
            <a:t>*Salaries for certified teachers and teacher assistants in private provider or local Head Start settings must be comparable to teachers or teacher assistants employed by the district board of education based on equivalent certification and credentials.</a:t>
          </a:r>
        </a:p>
      </xdr:txBody>
    </xdr:sp>
    <xdr:clientData/>
  </xdr:twoCellAnchor>
  <xdr:twoCellAnchor>
    <xdr:from>
      <xdr:col>0</xdr:col>
      <xdr:colOff>9525</xdr:colOff>
      <xdr:row>3</xdr:row>
      <xdr:rowOff>93344</xdr:rowOff>
    </xdr:from>
    <xdr:to>
      <xdr:col>8</xdr:col>
      <xdr:colOff>843913</xdr:colOff>
      <xdr:row>13</xdr:row>
      <xdr:rowOff>198120</xdr:rowOff>
    </xdr:to>
    <xdr:sp macro="" textlink="">
      <xdr:nvSpPr>
        <xdr:cNvPr id="3" name="Text Box 1">
          <a:extLst>
            <a:ext uri="{FF2B5EF4-FFF2-40B4-BE49-F238E27FC236}">
              <a16:creationId xmlns:a16="http://schemas.microsoft.com/office/drawing/2014/main" id="{00000000-0008-0000-0200-000003000000}"/>
            </a:ext>
          </a:extLst>
        </xdr:cNvPr>
        <xdr:cNvSpPr txBox="1">
          <a:spLocks noChangeArrowheads="1"/>
        </xdr:cNvSpPr>
      </xdr:nvSpPr>
      <xdr:spPr bwMode="auto">
        <a:xfrm>
          <a:off x="9525" y="826769"/>
          <a:ext cx="10768963" cy="1724026"/>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                                                                                           </a:t>
          </a:r>
        </a:p>
        <a:p>
          <a:pPr rtl="0"/>
          <a:r>
            <a:rPr lang="en-US" sz="1100" b="1" i="0">
              <a:effectLst/>
              <a:latin typeface="+mn-lt"/>
              <a:ea typeface="+mn-ea"/>
              <a:cs typeface="+mn-cs"/>
            </a:rPr>
            <a:t>DIRECTIONS:</a:t>
          </a:r>
          <a:endParaRPr lang="en-US" sz="1000">
            <a:effectLst/>
          </a:endParaRPr>
        </a:p>
        <a:p>
          <a:pPr rtl="0"/>
          <a:r>
            <a:rPr lang="en-US" sz="1100" b="0" i="0">
              <a:effectLst/>
              <a:latin typeface="+mn-lt"/>
              <a:ea typeface="+mn-ea"/>
              <a:cs typeface="+mn-cs"/>
            </a:rPr>
            <a:t>1. Private providers must use this form to itemize salaries, benefits, and salary step (if applicable) for </a:t>
          </a:r>
          <a:r>
            <a:rPr lang="en-US" sz="1100" b="1" i="0" u="sng">
              <a:effectLst/>
              <a:latin typeface="+mn-lt"/>
              <a:ea typeface="+mn-ea"/>
              <a:cs typeface="+mn-cs"/>
            </a:rPr>
            <a:t>all</a:t>
          </a:r>
          <a:r>
            <a:rPr lang="en-US" sz="1100" b="0" i="0">
              <a:effectLst/>
              <a:latin typeface="+mn-lt"/>
              <a:ea typeface="+mn-ea"/>
              <a:cs typeface="+mn-cs"/>
            </a:rPr>
            <a:t> state-funded positions (both Educational Program positions and Administrative/Support positions) to be funded in 2024-25.</a:t>
          </a:r>
          <a:endParaRPr lang="en-US" sz="1000">
            <a:effectLst/>
          </a:endParaRPr>
        </a:p>
        <a:p>
          <a:pPr rtl="0"/>
          <a:r>
            <a:rPr lang="en-US" sz="1100" b="0" i="0">
              <a:effectLst/>
              <a:latin typeface="+mn-lt"/>
              <a:ea typeface="+mn-ea"/>
              <a:cs typeface="+mn-cs"/>
            </a:rPr>
            <a:t>2. </a:t>
          </a:r>
          <a:r>
            <a:rPr lang="en-US" sz="1100" b="1" i="0" u="sng">
              <a:effectLst/>
              <a:latin typeface="+mn-lt"/>
              <a:ea typeface="+mn-ea"/>
              <a:cs typeface="+mn-cs"/>
            </a:rPr>
            <a:t>Both full-time and part-time</a:t>
          </a:r>
          <a:r>
            <a:rPr lang="en-US" sz="1100" b="0" i="0">
              <a:effectLst/>
              <a:latin typeface="+mn-lt"/>
              <a:ea typeface="+mn-ea"/>
              <a:cs typeface="+mn-cs"/>
            </a:rPr>
            <a:t> employees must be included.</a:t>
          </a:r>
          <a:endParaRPr lang="en-US" sz="1000">
            <a:effectLst/>
          </a:endParaRPr>
        </a:p>
        <a:p>
          <a:pPr rtl="0"/>
          <a:r>
            <a:rPr lang="en-US" sz="1100" b="0" i="0">
              <a:effectLst/>
              <a:latin typeface="+mn-lt"/>
              <a:ea typeface="+mn-ea"/>
              <a:cs typeface="+mn-cs"/>
            </a:rPr>
            <a:t>3. </a:t>
          </a:r>
          <a:r>
            <a:rPr lang="en-US" sz="1100" b="1" i="0" u="sng">
              <a:effectLst/>
              <a:latin typeface="+mn-lt"/>
              <a:ea typeface="+mn-ea"/>
              <a:cs typeface="+mn-cs"/>
            </a:rPr>
            <a:t>Full-time, school calendar year salary and benefit equivalent should be reported for all employees</a:t>
          </a:r>
          <a:r>
            <a:rPr lang="en-US" sz="1100" b="0" i="0">
              <a:effectLst/>
              <a:latin typeface="+mn-lt"/>
              <a:ea typeface="+mn-ea"/>
              <a:cs typeface="+mn-cs"/>
            </a:rPr>
            <a:t>.</a:t>
          </a:r>
          <a:endParaRPr lang="en-US" sz="1000">
            <a:effectLst/>
          </a:endParaRPr>
        </a:p>
        <a:p>
          <a:pPr rtl="0"/>
          <a:r>
            <a:rPr lang="en-US" sz="1100" b="0" i="0">
              <a:effectLst/>
              <a:latin typeface="+mn-lt"/>
              <a:ea typeface="+mn-ea"/>
              <a:cs typeface="+mn-cs"/>
            </a:rPr>
            <a:t>4. Do not include employees from 2023-24 who will not be employed in 2024-25.</a:t>
          </a:r>
          <a:endParaRPr lang="en-US" sz="1000">
            <a:effectLst/>
          </a:endParaRPr>
        </a:p>
        <a:p>
          <a:pPr rtl="0"/>
          <a:r>
            <a:rPr lang="en-US" sz="1100" b="0" i="0">
              <a:effectLst/>
              <a:latin typeface="+mn-lt"/>
              <a:ea typeface="+mn-ea"/>
              <a:cs typeface="+mn-cs"/>
            </a:rPr>
            <a:t>*Salaries for certified teachers and teacher assistants in private provider or local Head Start settings must be comparable to teachers or teacher assistants employed by the district board of education based on equivalent certification and credentials.</a:t>
          </a:r>
          <a:endParaRPr lang="en-US" sz="1000">
            <a:effectLst/>
          </a:endParaRPr>
        </a:p>
        <a:p>
          <a:pPr algn="l" rtl="0">
            <a:defRPr sz="1000"/>
          </a:pPr>
          <a:r>
            <a:rPr lang="en-US" sz="1000" b="0" i="0" u="none" strike="noStrike" baseline="0">
              <a:solidFill>
                <a:srgbClr val="C00000"/>
              </a:solidFill>
              <a:latin typeface="Arial" pitchFamily="34" charset="0"/>
              <a:cs typeface="Arial" pitchFamily="34" charset="0"/>
            </a:rPr>
            <a:t>* Please note: Schedule A is now broken into categories. Be sure to place staff under the appropriate catergory.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8"/>
  <sheetViews>
    <sheetView zoomScaleNormal="100" workbookViewId="0">
      <selection activeCell="A7" sqref="A7:G20"/>
    </sheetView>
  </sheetViews>
  <sheetFormatPr defaultColWidth="0" defaultRowHeight="12.45" zeroHeight="1" x14ac:dyDescent="0.3"/>
  <cols>
    <col min="1" max="5" width="16.3828125" style="17" customWidth="1"/>
    <col min="6" max="6" width="17" style="17" customWidth="1"/>
    <col min="7" max="7" width="9.84375" style="17" customWidth="1"/>
    <col min="8" max="9" width="0" style="17" hidden="1" customWidth="1"/>
    <col min="10" max="16384" width="9.15234375" style="17" hidden="1"/>
  </cols>
  <sheetData>
    <row r="1" spans="1:7" x14ac:dyDescent="0.3">
      <c r="A1" s="269" t="s">
        <v>191</v>
      </c>
      <c r="B1" s="267"/>
      <c r="C1" s="267"/>
      <c r="D1" s="267"/>
      <c r="E1" s="267"/>
      <c r="F1" s="267"/>
      <c r="G1" s="268"/>
    </row>
    <row r="2" spans="1:7" ht="15.65" customHeight="1" x14ac:dyDescent="0.35">
      <c r="A2" s="272" t="s">
        <v>139</v>
      </c>
      <c r="B2" s="270"/>
      <c r="C2" s="270"/>
      <c r="D2" s="270"/>
      <c r="E2" s="270"/>
      <c r="F2" s="270"/>
      <c r="G2" s="271"/>
    </row>
    <row r="3" spans="1:7" ht="15" x14ac:dyDescent="0.35">
      <c r="A3" s="238"/>
      <c r="B3" s="239"/>
      <c r="C3" s="239"/>
      <c r="D3" s="239"/>
      <c r="E3" s="239"/>
      <c r="F3" s="239"/>
      <c r="G3" s="240"/>
    </row>
    <row r="4" spans="1:7" ht="15" x14ac:dyDescent="0.35">
      <c r="A4" s="210" t="s">
        <v>0</v>
      </c>
      <c r="B4" s="242"/>
      <c r="C4" s="242"/>
      <c r="D4" s="242"/>
      <c r="E4" s="273"/>
      <c r="F4" s="274"/>
      <c r="G4" s="275"/>
    </row>
    <row r="5" spans="1:7" ht="15" x14ac:dyDescent="0.35">
      <c r="A5" s="211" t="s">
        <v>5</v>
      </c>
      <c r="B5" s="242"/>
      <c r="C5" s="242"/>
      <c r="D5" s="242"/>
      <c r="E5" s="319"/>
      <c r="F5" s="320"/>
      <c r="G5" s="321"/>
    </row>
    <row r="6" spans="1:7" ht="15.45" thickBot="1" x14ac:dyDescent="0.4">
      <c r="A6" s="277"/>
      <c r="B6" s="278"/>
      <c r="C6" s="278"/>
      <c r="D6" s="278"/>
      <c r="E6" s="278"/>
      <c r="F6" s="278"/>
      <c r="G6" s="279"/>
    </row>
    <row r="7" spans="1:7" ht="12.75" customHeight="1" x14ac:dyDescent="0.3">
      <c r="A7" s="313" t="s">
        <v>161</v>
      </c>
      <c r="B7" s="314"/>
      <c r="C7" s="314"/>
      <c r="D7" s="314"/>
      <c r="E7" s="314"/>
      <c r="F7" s="314"/>
      <c r="G7" s="315"/>
    </row>
    <row r="8" spans="1:7" ht="12.75" customHeight="1" x14ac:dyDescent="0.3">
      <c r="A8" s="316"/>
      <c r="B8" s="317"/>
      <c r="C8" s="317"/>
      <c r="D8" s="317"/>
      <c r="E8" s="317"/>
      <c r="F8" s="317"/>
      <c r="G8" s="318"/>
    </row>
    <row r="9" spans="1:7" ht="12.75" customHeight="1" x14ac:dyDescent="0.3">
      <c r="A9" s="316"/>
      <c r="B9" s="317"/>
      <c r="C9" s="317"/>
      <c r="D9" s="317"/>
      <c r="E9" s="317"/>
      <c r="F9" s="317"/>
      <c r="G9" s="318"/>
    </row>
    <row r="10" spans="1:7" ht="12.75" customHeight="1" x14ac:dyDescent="0.3">
      <c r="A10" s="316"/>
      <c r="B10" s="317"/>
      <c r="C10" s="317"/>
      <c r="D10" s="317"/>
      <c r="E10" s="317"/>
      <c r="F10" s="317"/>
      <c r="G10" s="318"/>
    </row>
    <row r="11" spans="1:7" ht="12.75" customHeight="1" x14ac:dyDescent="0.3">
      <c r="A11" s="316"/>
      <c r="B11" s="317"/>
      <c r="C11" s="317"/>
      <c r="D11" s="317"/>
      <c r="E11" s="317"/>
      <c r="F11" s="317"/>
      <c r="G11" s="318"/>
    </row>
    <row r="12" spans="1:7" ht="12.75" customHeight="1" x14ac:dyDescent="0.3">
      <c r="A12" s="316"/>
      <c r="B12" s="317"/>
      <c r="C12" s="317"/>
      <c r="D12" s="317"/>
      <c r="E12" s="317"/>
      <c r="F12" s="317"/>
      <c r="G12" s="318"/>
    </row>
    <row r="13" spans="1:7" ht="12.75" customHeight="1" x14ac:dyDescent="0.3">
      <c r="A13" s="316"/>
      <c r="B13" s="317"/>
      <c r="C13" s="317"/>
      <c r="D13" s="317"/>
      <c r="E13" s="317"/>
      <c r="F13" s="317"/>
      <c r="G13" s="318"/>
    </row>
    <row r="14" spans="1:7" ht="12.75" customHeight="1" x14ac:dyDescent="0.3">
      <c r="A14" s="316"/>
      <c r="B14" s="317"/>
      <c r="C14" s="317"/>
      <c r="D14" s="317"/>
      <c r="E14" s="317"/>
      <c r="F14" s="317"/>
      <c r="G14" s="318"/>
    </row>
    <row r="15" spans="1:7" ht="12.75" customHeight="1" x14ac:dyDescent="0.3">
      <c r="A15" s="316"/>
      <c r="B15" s="317"/>
      <c r="C15" s="317"/>
      <c r="D15" s="317"/>
      <c r="E15" s="317"/>
      <c r="F15" s="317"/>
      <c r="G15" s="318"/>
    </row>
    <row r="16" spans="1:7" ht="12.75" customHeight="1" x14ac:dyDescent="0.3">
      <c r="A16" s="316"/>
      <c r="B16" s="317"/>
      <c r="C16" s="317"/>
      <c r="D16" s="317"/>
      <c r="E16" s="317"/>
      <c r="F16" s="317"/>
      <c r="G16" s="318"/>
    </row>
    <row r="17" spans="1:9" ht="12.75" customHeight="1" x14ac:dyDescent="0.3">
      <c r="A17" s="316"/>
      <c r="B17" s="317"/>
      <c r="C17" s="317"/>
      <c r="D17" s="317"/>
      <c r="E17" s="317"/>
      <c r="F17" s="317"/>
      <c r="G17" s="318"/>
    </row>
    <row r="18" spans="1:9" ht="12.75" customHeight="1" x14ac:dyDescent="0.3">
      <c r="A18" s="316"/>
      <c r="B18" s="317"/>
      <c r="C18" s="317"/>
      <c r="D18" s="317"/>
      <c r="E18" s="317"/>
      <c r="F18" s="317"/>
      <c r="G18" s="318"/>
    </row>
    <row r="19" spans="1:9" ht="12.75" customHeight="1" x14ac:dyDescent="0.3">
      <c r="A19" s="316"/>
      <c r="B19" s="317"/>
      <c r="C19" s="317"/>
      <c r="D19" s="317"/>
      <c r="E19" s="317"/>
      <c r="F19" s="317"/>
      <c r="G19" s="318"/>
    </row>
    <row r="20" spans="1:9" ht="24" customHeight="1" x14ac:dyDescent="0.3">
      <c r="A20" s="316"/>
      <c r="B20" s="317"/>
      <c r="C20" s="317"/>
      <c r="D20" s="317"/>
      <c r="E20" s="317"/>
      <c r="F20" s="317"/>
      <c r="G20" s="318"/>
    </row>
    <row r="21" spans="1:9" ht="36.75" customHeight="1" thickBot="1" x14ac:dyDescent="0.45">
      <c r="A21" s="328" t="s">
        <v>114</v>
      </c>
      <c r="B21" s="329"/>
      <c r="C21" s="329"/>
      <c r="D21" s="329"/>
      <c r="E21" s="329"/>
      <c r="F21" s="329"/>
      <c r="G21" s="330"/>
    </row>
    <row r="22" spans="1:9" ht="26.15" thickBot="1" x14ac:dyDescent="0.45">
      <c r="A22" s="19"/>
      <c r="B22" s="19"/>
      <c r="C22" s="19"/>
      <c r="D22" s="19"/>
      <c r="E22" s="19"/>
      <c r="F22" s="19"/>
      <c r="G22" s="19"/>
      <c r="I22" s="18" t="s">
        <v>8</v>
      </c>
    </row>
    <row r="23" spans="1:9" ht="15.75" customHeight="1" thickBot="1" x14ac:dyDescent="0.45">
      <c r="A23" s="276" t="s">
        <v>65</v>
      </c>
      <c r="B23" s="241"/>
      <c r="C23" s="241"/>
      <c r="D23" s="241"/>
      <c r="E23" s="241"/>
      <c r="F23" s="296"/>
      <c r="G23" s="19"/>
      <c r="I23" s="18"/>
    </row>
    <row r="24" spans="1:9" ht="15.75" customHeight="1" thickBot="1" x14ac:dyDescent="0.45">
      <c r="A24" s="282" t="s">
        <v>13</v>
      </c>
      <c r="B24" s="280"/>
      <c r="C24" s="280"/>
      <c r="D24" s="280"/>
      <c r="E24" s="281"/>
      <c r="F24" s="295"/>
      <c r="G24" s="20"/>
    </row>
    <row r="25" spans="1:9" ht="15.75" customHeight="1" thickBot="1" x14ac:dyDescent="0.45">
      <c r="A25" s="283" t="s">
        <v>147</v>
      </c>
      <c r="B25" s="284"/>
      <c r="C25" s="284"/>
      <c r="D25" s="284"/>
      <c r="E25" s="285"/>
      <c r="F25" s="85"/>
      <c r="G25" s="20"/>
    </row>
    <row r="26" spans="1:9" ht="15.75" customHeight="1" thickBot="1" x14ac:dyDescent="0.45">
      <c r="A26" s="286" t="s">
        <v>148</v>
      </c>
      <c r="B26" s="287"/>
      <c r="C26" s="287"/>
      <c r="D26" s="287"/>
      <c r="E26" s="288"/>
      <c r="F26" s="86"/>
      <c r="G26" s="20"/>
    </row>
    <row r="27" spans="1:9" ht="15.75" customHeight="1" thickBot="1" x14ac:dyDescent="0.45">
      <c r="A27" s="289" t="s">
        <v>149</v>
      </c>
      <c r="B27" s="290"/>
      <c r="C27" s="290"/>
      <c r="D27" s="290"/>
      <c r="E27" s="291"/>
      <c r="F27" s="87"/>
      <c r="G27" s="20"/>
    </row>
    <row r="28" spans="1:9" ht="15.75" customHeight="1" thickBot="1" x14ac:dyDescent="0.45">
      <c r="A28" s="292" t="s">
        <v>150</v>
      </c>
      <c r="B28" s="293"/>
      <c r="C28" s="293"/>
      <c r="D28" s="293"/>
      <c r="E28" s="294"/>
      <c r="F28" s="88"/>
      <c r="G28" s="20"/>
    </row>
    <row r="29" spans="1:9" ht="15.9" thickBot="1" x14ac:dyDescent="0.45">
      <c r="A29" s="20"/>
      <c r="B29" s="20"/>
      <c r="C29" s="20"/>
      <c r="D29" s="20"/>
      <c r="E29" s="20"/>
      <c r="F29" s="20"/>
      <c r="G29" s="20"/>
    </row>
    <row r="30" spans="1:9" s="302" customFormat="1" ht="15.65" customHeight="1" thickBot="1" x14ac:dyDescent="0.4">
      <c r="A30" s="299" t="s">
        <v>66</v>
      </c>
      <c r="B30" s="300"/>
      <c r="C30" s="300"/>
      <c r="D30" s="300"/>
      <c r="E30" s="301"/>
    </row>
    <row r="31" spans="1:9" ht="45.65" customHeight="1" thickBot="1" x14ac:dyDescent="0.35">
      <c r="A31" s="21" t="s">
        <v>9</v>
      </c>
      <c r="B31" s="22" t="s">
        <v>143</v>
      </c>
      <c r="C31" s="23" t="s">
        <v>68</v>
      </c>
      <c r="D31" s="22" t="s">
        <v>43</v>
      </c>
      <c r="E31" s="245" t="s">
        <v>144</v>
      </c>
      <c r="F31" s="302"/>
      <c r="G31" s="302"/>
    </row>
    <row r="32" spans="1:9" ht="15.9" thickBot="1" x14ac:dyDescent="0.35">
      <c r="A32" s="21" t="s">
        <v>10</v>
      </c>
      <c r="B32" s="82">
        <v>0.32</v>
      </c>
      <c r="C32" s="83">
        <f>F26</f>
        <v>0</v>
      </c>
      <c r="D32" s="92">
        <f>F24</f>
        <v>0</v>
      </c>
      <c r="E32" s="244">
        <f>B32*C32*D32</f>
        <v>0</v>
      </c>
      <c r="F32" s="302"/>
      <c r="G32" s="302"/>
    </row>
    <row r="33" spans="1:7" ht="15.9" thickBot="1" x14ac:dyDescent="0.35">
      <c r="A33" s="21" t="s">
        <v>11</v>
      </c>
      <c r="B33" s="82">
        <v>0.33</v>
      </c>
      <c r="C33" s="83">
        <f>F26</f>
        <v>0</v>
      </c>
      <c r="D33" s="84">
        <f>F24</f>
        <v>0</v>
      </c>
      <c r="E33" s="244">
        <f>B33*C33*D33</f>
        <v>0</v>
      </c>
      <c r="F33" s="302"/>
      <c r="G33" s="302"/>
    </row>
    <row r="34" spans="1:7" ht="15.9" thickBot="1" x14ac:dyDescent="0.35">
      <c r="A34" s="21" t="s">
        <v>12</v>
      </c>
      <c r="B34" s="82">
        <v>0.48</v>
      </c>
      <c r="C34" s="83">
        <f>F26</f>
        <v>0</v>
      </c>
      <c r="D34" s="84">
        <f>F24</f>
        <v>0</v>
      </c>
      <c r="E34" s="244">
        <f>B34*C34*D34</f>
        <v>0</v>
      </c>
      <c r="F34" s="302"/>
      <c r="G34" s="302"/>
    </row>
    <row r="35" spans="1:7" ht="18" customHeight="1" thickBot="1" x14ac:dyDescent="0.35">
      <c r="A35" s="305" t="s">
        <v>140</v>
      </c>
      <c r="B35" s="303"/>
      <c r="C35" s="303"/>
      <c r="D35" s="304"/>
      <c r="E35" s="243">
        <f>SUM(E32:F34)</f>
        <v>0</v>
      </c>
      <c r="F35" s="302"/>
      <c r="G35" s="302"/>
    </row>
    <row r="36" spans="1:7" ht="15.9" thickBot="1" x14ac:dyDescent="0.45">
      <c r="A36" s="20"/>
      <c r="B36" s="20"/>
      <c r="C36" s="20"/>
      <c r="D36" s="20"/>
      <c r="E36" s="20"/>
      <c r="F36" s="302"/>
      <c r="G36" s="302"/>
    </row>
    <row r="37" spans="1:7" ht="15.65" customHeight="1" thickBot="1" x14ac:dyDescent="0.35">
      <c r="A37" s="299" t="s">
        <v>67</v>
      </c>
      <c r="B37" s="297"/>
      <c r="C37" s="297"/>
      <c r="D37" s="297"/>
      <c r="E37" s="298"/>
      <c r="F37" s="302"/>
      <c r="G37" s="302"/>
    </row>
    <row r="38" spans="1:7" ht="30.65" customHeight="1" thickBot="1" x14ac:dyDescent="0.35">
      <c r="A38" s="21" t="s">
        <v>9</v>
      </c>
      <c r="B38" s="22" t="s">
        <v>143</v>
      </c>
      <c r="C38" s="24" t="s">
        <v>69</v>
      </c>
      <c r="D38" s="22" t="s">
        <v>43</v>
      </c>
      <c r="E38" s="245" t="s">
        <v>142</v>
      </c>
      <c r="F38" s="302"/>
      <c r="G38" s="302"/>
    </row>
    <row r="39" spans="1:7" ht="15.9" thickBot="1" x14ac:dyDescent="0.35">
      <c r="A39" s="21" t="s">
        <v>10</v>
      </c>
      <c r="B39" s="82">
        <v>1.59</v>
      </c>
      <c r="C39" s="89">
        <f>F27</f>
        <v>0</v>
      </c>
      <c r="D39" s="84">
        <f>F24</f>
        <v>0</v>
      </c>
      <c r="E39" s="244">
        <f>B39*C39*D39</f>
        <v>0</v>
      </c>
      <c r="F39" s="302"/>
      <c r="G39" s="302"/>
    </row>
    <row r="40" spans="1:7" ht="15.9" thickBot="1" x14ac:dyDescent="0.35">
      <c r="A40" s="21" t="s">
        <v>11</v>
      </c>
      <c r="B40" s="82">
        <v>3.11</v>
      </c>
      <c r="C40" s="89">
        <f>F27</f>
        <v>0</v>
      </c>
      <c r="D40" s="84">
        <f>F24</f>
        <v>0</v>
      </c>
      <c r="E40" s="244">
        <f>B40*C40*D40</f>
        <v>0</v>
      </c>
      <c r="F40" s="302"/>
      <c r="G40" s="302"/>
    </row>
    <row r="41" spans="1:7" ht="15.9" thickBot="1" x14ac:dyDescent="0.35">
      <c r="A41" s="21" t="s">
        <v>12</v>
      </c>
      <c r="B41" s="82">
        <v>0.96</v>
      </c>
      <c r="C41" s="89">
        <f>F27</f>
        <v>0</v>
      </c>
      <c r="D41" s="84">
        <f>F24</f>
        <v>0</v>
      </c>
      <c r="E41" s="244">
        <f>B41*C41*D41</f>
        <v>0</v>
      </c>
      <c r="F41" s="302"/>
      <c r="G41" s="302"/>
    </row>
    <row r="42" spans="1:7" ht="16.5" customHeight="1" thickBot="1" x14ac:dyDescent="0.35">
      <c r="A42" s="305" t="s">
        <v>141</v>
      </c>
      <c r="B42" s="303"/>
      <c r="C42" s="303"/>
      <c r="D42" s="304"/>
      <c r="E42" s="243">
        <f>SUM(E39:F41)</f>
        <v>0</v>
      </c>
      <c r="F42" s="302"/>
      <c r="G42" s="302"/>
    </row>
    <row r="43" spans="1:7" ht="15.9" thickBot="1" x14ac:dyDescent="0.45">
      <c r="A43" s="20"/>
      <c r="B43" s="20"/>
      <c r="C43" s="20"/>
      <c r="D43" s="20"/>
      <c r="E43" s="20"/>
      <c r="F43" s="302"/>
      <c r="G43" s="302"/>
    </row>
    <row r="44" spans="1:7" ht="16.5" customHeight="1" thickBot="1" x14ac:dyDescent="0.45">
      <c r="A44" s="323" t="s">
        <v>151</v>
      </c>
      <c r="B44" s="324"/>
      <c r="C44" s="324"/>
      <c r="D44" s="325"/>
      <c r="E44" s="326">
        <f>IF(F28="0","0",(E42+E35))</f>
        <v>0</v>
      </c>
      <c r="F44" s="327"/>
      <c r="G44" s="20"/>
    </row>
    <row r="45" spans="1:7" x14ac:dyDescent="0.3"/>
    <row r="46" spans="1:7" ht="12.75" customHeight="1" x14ac:dyDescent="0.3">
      <c r="A46" s="322" t="s">
        <v>192</v>
      </c>
      <c r="B46" s="322"/>
      <c r="C46" s="322"/>
      <c r="D46" s="322"/>
      <c r="E46" s="322"/>
      <c r="F46" s="322"/>
    </row>
    <row r="47" spans="1:7" x14ac:dyDescent="0.3">
      <c r="A47" s="322"/>
      <c r="B47" s="322"/>
      <c r="C47" s="322"/>
      <c r="D47" s="322"/>
      <c r="E47" s="322"/>
      <c r="F47" s="322"/>
    </row>
    <row r="48" spans="1:7" x14ac:dyDescent="0.3">
      <c r="A48" s="322"/>
      <c r="B48" s="322"/>
      <c r="C48" s="322"/>
      <c r="D48" s="322"/>
      <c r="E48" s="322"/>
      <c r="F48" s="322"/>
    </row>
  </sheetData>
  <sheetProtection selectLockedCells="1"/>
  <mergeCells count="6">
    <mergeCell ref="A7:G20"/>
    <mergeCell ref="E5:G5"/>
    <mergeCell ref="A46:F48"/>
    <mergeCell ref="A44:D44"/>
    <mergeCell ref="E44:F44"/>
    <mergeCell ref="A21:G21"/>
  </mergeCells>
  <phoneticPr fontId="7" type="noConversion"/>
  <pageMargins left="0.75" right="0.75" top="1" bottom="1" header="0.5" footer="0.5"/>
  <pageSetup scale="70" orientation="portrait" r:id="rId1"/>
  <headerFooter alignWithMargins="0"/>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9"/>
  <sheetViews>
    <sheetView topLeftCell="A17" workbookViewId="0">
      <selection sqref="A1:I1"/>
    </sheetView>
  </sheetViews>
  <sheetFormatPr defaultColWidth="0" defaultRowHeight="12.9" zeroHeight="1" x14ac:dyDescent="0.35"/>
  <cols>
    <col min="1" max="1" width="19.84375" style="51" customWidth="1"/>
    <col min="2" max="2" width="12.84375" style="62" customWidth="1"/>
    <col min="3" max="3" width="10.3828125" style="51" customWidth="1"/>
    <col min="4" max="7" width="10.84375" style="51" customWidth="1"/>
    <col min="8" max="8" width="24" style="51" bestFit="1" customWidth="1"/>
    <col min="9" max="9" width="21.3828125" style="51" customWidth="1"/>
    <col min="10" max="13" width="12.15234375" style="51" hidden="1" customWidth="1"/>
    <col min="14" max="14" width="10.3828125" style="51" hidden="1" customWidth="1"/>
    <col min="15" max="15" width="18.3828125" style="51" hidden="1" customWidth="1"/>
    <col min="16" max="16384" width="9.15234375" style="51" hidden="1"/>
  </cols>
  <sheetData>
    <row r="1" spans="1:14" ht="19.75" x14ac:dyDescent="0.45">
      <c r="A1" s="335" t="s">
        <v>193</v>
      </c>
      <c r="B1" s="335"/>
      <c r="C1" s="335"/>
      <c r="D1" s="335"/>
      <c r="E1" s="335"/>
      <c r="F1" s="335"/>
      <c r="G1" s="335"/>
      <c r="H1" s="335"/>
      <c r="I1" s="335"/>
    </row>
    <row r="2" spans="1:14" ht="20.25" customHeight="1" x14ac:dyDescent="0.35">
      <c r="A2" s="65" t="s">
        <v>0</v>
      </c>
      <c r="B2" s="344">
        <f>'CACFP Worksheet'!B4</f>
        <v>0</v>
      </c>
      <c r="C2" s="345"/>
      <c r="D2" s="345"/>
      <c r="E2" s="90" t="s">
        <v>5</v>
      </c>
      <c r="F2" s="344">
        <f>'CACFP Worksheet'!B5</f>
        <v>0</v>
      </c>
      <c r="G2" s="345"/>
      <c r="H2" s="345"/>
      <c r="I2" s="91"/>
      <c r="J2" s="52"/>
      <c r="K2" s="53"/>
      <c r="L2" s="54"/>
    </row>
    <row r="3" spans="1:14" ht="19" customHeight="1" x14ac:dyDescent="0.35">
      <c r="A3" s="306"/>
      <c r="B3" s="306"/>
      <c r="C3" s="306"/>
      <c r="D3" s="306"/>
      <c r="E3" s="306"/>
      <c r="F3" s="306"/>
      <c r="G3" s="306"/>
      <c r="H3" s="306"/>
      <c r="I3" s="306"/>
      <c r="J3" s="56"/>
      <c r="K3" s="53"/>
      <c r="L3" s="54"/>
    </row>
    <row r="4" spans="1:14" ht="19" customHeight="1" x14ac:dyDescent="0.35">
      <c r="A4" s="306"/>
      <c r="B4" s="306"/>
      <c r="C4" s="306"/>
      <c r="D4" s="306"/>
      <c r="E4" s="306"/>
      <c r="F4" s="306"/>
      <c r="G4" s="306"/>
      <c r="H4" s="306"/>
      <c r="I4" s="306"/>
      <c r="J4" s="56"/>
      <c r="K4" s="53"/>
      <c r="L4" s="54"/>
    </row>
    <row r="5" spans="1:14" ht="19" customHeight="1" x14ac:dyDescent="0.35">
      <c r="A5" s="306"/>
      <c r="B5" s="306"/>
      <c r="C5" s="306"/>
      <c r="D5" s="306"/>
      <c r="E5" s="306"/>
      <c r="F5" s="306"/>
      <c r="G5" s="306"/>
      <c r="H5" s="306"/>
      <c r="I5" s="306"/>
      <c r="J5" s="56"/>
      <c r="K5" s="53"/>
      <c r="L5" s="54"/>
    </row>
    <row r="6" spans="1:14" ht="19" customHeight="1" x14ac:dyDescent="0.35">
      <c r="A6" s="306"/>
      <c r="B6" s="306"/>
      <c r="C6" s="306"/>
      <c r="D6" s="306"/>
      <c r="E6" s="306"/>
      <c r="F6" s="306"/>
      <c r="G6" s="306"/>
      <c r="H6" s="306"/>
      <c r="I6" s="306"/>
      <c r="J6" s="56"/>
      <c r="K6" s="53"/>
      <c r="L6" s="54"/>
    </row>
    <row r="7" spans="1:14" ht="19" customHeight="1" x14ac:dyDescent="0.35">
      <c r="A7" s="306"/>
      <c r="B7" s="306"/>
      <c r="C7" s="306"/>
      <c r="D7" s="306"/>
      <c r="E7" s="306"/>
      <c r="F7" s="306"/>
      <c r="G7" s="306"/>
      <c r="H7" s="306"/>
      <c r="I7" s="306"/>
    </row>
    <row r="8" spans="1:14" ht="19" customHeight="1" x14ac:dyDescent="0.35">
      <c r="A8" s="57"/>
      <c r="B8" s="57"/>
      <c r="C8" s="57"/>
      <c r="D8" s="57"/>
      <c r="E8" s="57"/>
      <c r="F8" s="57"/>
      <c r="G8" s="57"/>
      <c r="H8" s="56"/>
      <c r="I8" s="55"/>
      <c r="J8" s="56"/>
      <c r="K8" s="53"/>
      <c r="L8" s="54"/>
    </row>
    <row r="9" spans="1:14" ht="15.45" x14ac:dyDescent="0.35">
      <c r="A9" s="342" t="s">
        <v>22</v>
      </c>
      <c r="B9" s="336"/>
      <c r="C9" s="337"/>
      <c r="D9" s="337"/>
      <c r="E9" s="337"/>
      <c r="F9" s="337"/>
      <c r="G9" s="337"/>
      <c r="H9" s="337"/>
      <c r="I9" s="338"/>
      <c r="J9" s="56"/>
      <c r="K9" s="53"/>
      <c r="L9" s="54"/>
    </row>
    <row r="10" spans="1:14" ht="15.45" x14ac:dyDescent="0.35">
      <c r="A10" s="343"/>
      <c r="B10" s="339"/>
      <c r="C10" s="340"/>
      <c r="D10" s="340"/>
      <c r="E10" s="340"/>
      <c r="F10" s="340"/>
      <c r="G10" s="340"/>
      <c r="H10" s="340"/>
      <c r="I10" s="341"/>
      <c r="J10" s="56"/>
      <c r="K10" s="53"/>
      <c r="L10" s="54"/>
    </row>
    <row r="11" spans="1:14" ht="15.45" x14ac:dyDescent="0.35">
      <c r="A11" s="58" t="s">
        <v>23</v>
      </c>
      <c r="B11" s="79"/>
      <c r="C11" s="331"/>
      <c r="D11" s="332"/>
      <c r="E11" s="332"/>
      <c r="F11" s="332"/>
      <c r="G11" s="332"/>
      <c r="H11" s="332"/>
      <c r="I11" s="333"/>
      <c r="J11" s="56"/>
      <c r="K11" s="53"/>
      <c r="L11" s="54"/>
    </row>
    <row r="12" spans="1:14" ht="15.45" x14ac:dyDescent="0.35">
      <c r="A12" s="246" t="s">
        <v>24</v>
      </c>
      <c r="B12" s="247"/>
      <c r="C12" s="353"/>
      <c r="D12" s="354"/>
      <c r="E12" s="355"/>
      <c r="F12" s="351" t="s">
        <v>25</v>
      </c>
      <c r="G12" s="352"/>
      <c r="H12" s="80">
        <f>'Provider Planning Budget'!E4+'Provider Planning Budget'!E7</f>
        <v>0</v>
      </c>
      <c r="I12" s="202"/>
      <c r="J12" s="56"/>
      <c r="K12" s="55"/>
      <c r="L12" s="56"/>
      <c r="M12" s="53"/>
      <c r="N12" s="54"/>
    </row>
    <row r="13" spans="1:14" ht="7.5" customHeight="1" x14ac:dyDescent="0.35">
      <c r="A13" s="59"/>
      <c r="B13" s="60"/>
      <c r="C13" s="61"/>
      <c r="D13" s="61"/>
      <c r="E13" s="61"/>
      <c r="F13" s="61"/>
      <c r="G13" s="61"/>
      <c r="H13" s="56"/>
      <c r="I13" s="55"/>
      <c r="J13" s="56"/>
      <c r="K13" s="53"/>
      <c r="L13" s="54"/>
    </row>
    <row r="14" spans="1:14" ht="15" x14ac:dyDescent="0.35">
      <c r="A14" s="334" t="s">
        <v>26</v>
      </c>
      <c r="B14" s="334"/>
      <c r="C14" s="334"/>
      <c r="D14" s="334"/>
      <c r="E14" s="334"/>
      <c r="F14" s="334"/>
      <c r="G14" s="334"/>
      <c r="H14" s="334"/>
      <c r="I14" s="334"/>
    </row>
    <row r="15" spans="1:14" ht="24.75" customHeight="1" x14ac:dyDescent="0.35">
      <c r="A15" s="81" t="s">
        <v>45</v>
      </c>
      <c r="B15" s="356" t="s">
        <v>40</v>
      </c>
      <c r="C15" s="356"/>
      <c r="D15" s="356"/>
      <c r="E15" s="356"/>
      <c r="F15" s="356"/>
      <c r="G15" s="356"/>
      <c r="H15" s="356"/>
      <c r="I15" s="356"/>
    </row>
    <row r="16" spans="1:14" ht="12.75" customHeight="1" x14ac:dyDescent="0.35">
      <c r="A16" s="81" t="s">
        <v>46</v>
      </c>
      <c r="B16" s="356" t="s">
        <v>41</v>
      </c>
      <c r="C16" s="356"/>
      <c r="D16" s="356"/>
      <c r="E16" s="356"/>
      <c r="F16" s="356"/>
      <c r="G16" s="356"/>
      <c r="H16" s="356"/>
      <c r="I16" s="356"/>
    </row>
    <row r="17" spans="1:13" ht="54.75" customHeight="1" x14ac:dyDescent="0.35">
      <c r="A17" s="81" t="s">
        <v>47</v>
      </c>
      <c r="B17" s="357" t="s">
        <v>50</v>
      </c>
      <c r="C17" s="358"/>
      <c r="D17" s="358"/>
      <c r="E17" s="358"/>
      <c r="F17" s="358"/>
      <c r="G17" s="358"/>
      <c r="H17" s="358"/>
      <c r="I17" s="359"/>
    </row>
    <row r="18" spans="1:13" ht="13.5" customHeight="1" x14ac:dyDescent="0.35">
      <c r="A18" s="350" t="s">
        <v>48</v>
      </c>
      <c r="B18" s="356" t="s">
        <v>51</v>
      </c>
      <c r="C18" s="356"/>
      <c r="D18" s="356"/>
      <c r="E18" s="356"/>
      <c r="F18" s="356"/>
      <c r="G18" s="356"/>
      <c r="H18" s="356"/>
      <c r="I18" s="356"/>
    </row>
    <row r="19" spans="1:13" x14ac:dyDescent="0.35">
      <c r="A19" s="350"/>
      <c r="B19" s="356"/>
      <c r="C19" s="356"/>
      <c r="D19" s="356"/>
      <c r="E19" s="356"/>
      <c r="F19" s="356"/>
      <c r="G19" s="356"/>
      <c r="H19" s="356"/>
      <c r="I19" s="356"/>
    </row>
    <row r="20" spans="1:13" x14ac:dyDescent="0.35">
      <c r="A20" s="251" t="s">
        <v>49</v>
      </c>
      <c r="B20" s="251"/>
      <c r="C20" s="251"/>
      <c r="D20" s="251"/>
      <c r="E20" s="251"/>
      <c r="F20" s="251"/>
      <c r="G20" s="251"/>
      <c r="H20" s="251"/>
      <c r="I20" s="251"/>
    </row>
    <row r="21" spans="1:13" x14ac:dyDescent="0.35">
      <c r="A21" s="59"/>
      <c r="B21" s="59"/>
      <c r="C21" s="59"/>
      <c r="D21" s="59"/>
      <c r="E21" s="59"/>
      <c r="F21" s="59"/>
      <c r="G21" s="59"/>
      <c r="H21" s="59"/>
      <c r="I21" s="59"/>
    </row>
    <row r="22" spans="1:13" x14ac:dyDescent="0.35">
      <c r="A22" s="346" t="s">
        <v>168</v>
      </c>
      <c r="B22" s="346"/>
      <c r="C22" s="346"/>
      <c r="D22" s="346"/>
      <c r="E22" s="346"/>
      <c r="F22" s="346"/>
      <c r="G22" s="346"/>
      <c r="H22" s="59"/>
      <c r="I22" s="59"/>
    </row>
    <row r="23" spans="1:13" ht="6.75" customHeight="1" x14ac:dyDescent="0.35">
      <c r="A23" s="346"/>
      <c r="B23" s="346"/>
      <c r="C23" s="346"/>
      <c r="D23" s="346"/>
      <c r="E23" s="346"/>
      <c r="F23" s="346"/>
      <c r="G23" s="346"/>
    </row>
    <row r="24" spans="1:13" ht="25.3" x14ac:dyDescent="0.35">
      <c r="A24" s="347" t="s">
        <v>31</v>
      </c>
      <c r="B24" s="63" t="s">
        <v>44</v>
      </c>
      <c r="C24" s="64" t="s">
        <v>32</v>
      </c>
      <c r="D24" s="65" t="s">
        <v>27</v>
      </c>
      <c r="E24" s="65" t="s">
        <v>28</v>
      </c>
      <c r="F24" s="66" t="s">
        <v>29</v>
      </c>
      <c r="G24" s="66" t="s">
        <v>30</v>
      </c>
    </row>
    <row r="25" spans="1:13" x14ac:dyDescent="0.35">
      <c r="A25" s="348"/>
      <c r="B25" s="67" t="s">
        <v>33</v>
      </c>
      <c r="C25" s="68"/>
      <c r="D25" s="69">
        <f>7681*1.02%+7681</f>
        <v>7759.3462</v>
      </c>
      <c r="E25" s="69">
        <f>13187*1.02%+13187</f>
        <v>13321.5074</v>
      </c>
      <c r="F25" s="69">
        <f>14071*1.02%+14071</f>
        <v>14214.5242</v>
      </c>
      <c r="G25" s="69">
        <f>15740*1.02%+15740</f>
        <v>15900.548000000001</v>
      </c>
      <c r="H25" s="93"/>
      <c r="J25" s="54"/>
      <c r="K25" s="54"/>
      <c r="L25" s="54"/>
      <c r="M25" s="54"/>
    </row>
    <row r="26" spans="1:13" x14ac:dyDescent="0.35">
      <c r="A26" s="348"/>
      <c r="B26" s="67"/>
      <c r="C26" s="68">
        <v>1</v>
      </c>
      <c r="D26" s="69">
        <f>9370*1.02%+9370</f>
        <v>9465.5740000000005</v>
      </c>
      <c r="E26" s="69">
        <f>16089*1.02%+16089</f>
        <v>16253.1078</v>
      </c>
      <c r="F26" s="69">
        <f>17168*1.02%+17168</f>
        <v>17343.113600000001</v>
      </c>
      <c r="G26" s="69">
        <f>19203*1.02%+19203</f>
        <v>19398.870599999998</v>
      </c>
      <c r="H26" s="93"/>
      <c r="J26" s="54"/>
      <c r="K26" s="54"/>
      <c r="L26" s="54"/>
      <c r="M26" s="54"/>
    </row>
    <row r="27" spans="1:13" x14ac:dyDescent="0.35">
      <c r="A27" s="348"/>
      <c r="B27" s="67"/>
      <c r="C27" s="68">
        <v>2</v>
      </c>
      <c r="D27" s="69">
        <f>17051*1.02%+17051</f>
        <v>17224.9202</v>
      </c>
      <c r="E27" s="69">
        <f>29277*1.02%+29277</f>
        <v>29575.625400000001</v>
      </c>
      <c r="F27" s="69">
        <f>31238*1.02%+31238</f>
        <v>31556.6276</v>
      </c>
      <c r="G27" s="69">
        <f>34943*1.02%+34943</f>
        <v>35299.418599999997</v>
      </c>
      <c r="H27" s="93"/>
      <c r="J27" s="54"/>
      <c r="K27" s="54"/>
      <c r="L27" s="54"/>
      <c r="M27" s="54"/>
    </row>
    <row r="28" spans="1:13" x14ac:dyDescent="0.35">
      <c r="A28" s="348"/>
      <c r="B28" s="67"/>
      <c r="C28" s="68">
        <v>3</v>
      </c>
      <c r="D28" s="69">
        <f>24731*1.02%+24731</f>
        <v>24983.2562</v>
      </c>
      <c r="E28" s="69">
        <f>42466*1.02%+42466</f>
        <v>42899.153200000001</v>
      </c>
      <c r="F28" s="69">
        <f>45311*1.02%+45311</f>
        <v>45773.172200000001</v>
      </c>
      <c r="G28" s="69">
        <f>50684*1.02%+50684</f>
        <v>51200.976799999997</v>
      </c>
      <c r="H28" s="93"/>
      <c r="J28" s="54"/>
      <c r="K28" s="54"/>
      <c r="L28" s="54"/>
      <c r="M28" s="54"/>
    </row>
    <row r="29" spans="1:13" x14ac:dyDescent="0.35">
      <c r="A29" s="348"/>
      <c r="B29" s="67"/>
      <c r="C29" s="68">
        <v>4</v>
      </c>
      <c r="D29" s="69">
        <f>31566*1.02%+31566</f>
        <v>31887.9732</v>
      </c>
      <c r="E29" s="69">
        <f>54203*1.02%+54203</f>
        <v>54755.870600000002</v>
      </c>
      <c r="F29" s="69">
        <f>57836*1.02%+57836</f>
        <v>58425.927199999998</v>
      </c>
      <c r="G29" s="69">
        <f>64691*1.02%+64691</f>
        <v>65350.8482</v>
      </c>
      <c r="H29" s="93"/>
      <c r="J29" s="54"/>
      <c r="K29" s="54"/>
      <c r="L29" s="54"/>
      <c r="M29" s="54"/>
    </row>
    <row r="30" spans="1:13" x14ac:dyDescent="0.35">
      <c r="A30" s="348"/>
      <c r="B30" s="67"/>
      <c r="C30" s="68">
        <v>5</v>
      </c>
      <c r="D30" s="69">
        <f>38402*1.02%+38402</f>
        <v>38793.700400000002</v>
      </c>
      <c r="E30" s="69">
        <f>65941*1.02%+65941</f>
        <v>66613.598199999993</v>
      </c>
      <c r="F30" s="69">
        <f>70358*1.02%+70358</f>
        <v>71075.651599999997</v>
      </c>
      <c r="G30" s="69">
        <f>78700*1.02%+78700</f>
        <v>79502.740000000005</v>
      </c>
      <c r="H30" s="93"/>
      <c r="J30" s="54"/>
      <c r="K30" s="54"/>
      <c r="L30" s="54"/>
      <c r="M30" s="54"/>
    </row>
    <row r="31" spans="1:13" x14ac:dyDescent="0.35">
      <c r="A31" s="348"/>
      <c r="B31" s="67"/>
      <c r="C31" s="68">
        <v>6</v>
      </c>
      <c r="D31" s="69">
        <f>44930*1.02%+44930</f>
        <v>45388.286</v>
      </c>
      <c r="E31" s="69">
        <f>77150*1.02%+77150</f>
        <v>77936.929999999993</v>
      </c>
      <c r="F31" s="69">
        <f>82321*1.02%+82321</f>
        <v>83160.674199999994</v>
      </c>
      <c r="G31" s="69">
        <f>92079*1.02%+92079</f>
        <v>93018.205799999996</v>
      </c>
      <c r="H31" s="93"/>
      <c r="J31" s="54"/>
      <c r="K31" s="54"/>
      <c r="L31" s="54"/>
      <c r="M31" s="54"/>
    </row>
    <row r="32" spans="1:13" x14ac:dyDescent="0.35">
      <c r="A32" s="348"/>
      <c r="B32" s="67"/>
      <c r="C32" s="68">
        <v>7</v>
      </c>
      <c r="D32" s="69">
        <f>51458*1.02%+51458</f>
        <v>51982.871599999999</v>
      </c>
      <c r="E32" s="69">
        <f>88360*1.02%+88360</f>
        <v>89261.271999999997</v>
      </c>
      <c r="F32" s="69">
        <f>94281*1.02%+94281</f>
        <v>95242.666200000007</v>
      </c>
      <c r="G32" s="69">
        <f>105457*1.02%+105457</f>
        <v>106532.6614</v>
      </c>
      <c r="H32" s="93"/>
      <c r="J32" s="54"/>
      <c r="K32" s="54"/>
      <c r="L32" s="54"/>
      <c r="M32" s="54"/>
    </row>
    <row r="33" spans="1:13" x14ac:dyDescent="0.35">
      <c r="A33" s="348"/>
      <c r="B33" s="67"/>
      <c r="C33" s="70" t="s">
        <v>34</v>
      </c>
      <c r="D33" s="69">
        <f>57988*1.02%+57988</f>
        <v>58579.477599999998</v>
      </c>
      <c r="E33" s="69">
        <f>99571*1.02%+99571</f>
        <v>100586.62420000001</v>
      </c>
      <c r="F33" s="69">
        <f>104476*1.02%+104476</f>
        <v>105541.65519999999</v>
      </c>
      <c r="G33" s="69">
        <f>118836*1.02%+118836</f>
        <v>120048.1272</v>
      </c>
      <c r="H33" s="93"/>
      <c r="J33" s="54"/>
      <c r="K33" s="54"/>
      <c r="L33" s="54"/>
      <c r="M33" s="54"/>
    </row>
    <row r="34" spans="1:13" x14ac:dyDescent="0.35">
      <c r="A34" s="348"/>
      <c r="B34" s="67"/>
      <c r="C34" s="68"/>
      <c r="D34" s="69"/>
      <c r="E34" s="69"/>
      <c r="F34" s="69"/>
      <c r="G34" s="69"/>
      <c r="H34" s="54"/>
      <c r="J34" s="54"/>
      <c r="K34" s="54"/>
      <c r="L34" s="54"/>
      <c r="M34" s="54"/>
    </row>
    <row r="35" spans="1:13" x14ac:dyDescent="0.35">
      <c r="A35" s="348"/>
      <c r="B35" s="67"/>
      <c r="C35" s="70" t="s">
        <v>35</v>
      </c>
      <c r="D35" s="69">
        <f>59192*1.02%+59192</f>
        <v>59795.758399999999</v>
      </c>
      <c r="E35" s="69">
        <f>100777*1.02%+100777</f>
        <v>101804.92540000001</v>
      </c>
      <c r="F35" s="69">
        <f>107447*1.02%+107447</f>
        <v>108542.95940000001</v>
      </c>
      <c r="G35" s="69">
        <f>120042*1.02%+120042</f>
        <v>121266.4284</v>
      </c>
      <c r="H35" s="93"/>
      <c r="J35" s="54"/>
      <c r="K35" s="54"/>
      <c r="L35" s="54"/>
      <c r="M35" s="54"/>
    </row>
    <row r="36" spans="1:13" x14ac:dyDescent="0.35">
      <c r="A36" s="348"/>
      <c r="B36" s="67"/>
      <c r="C36" s="70" t="s">
        <v>36</v>
      </c>
      <c r="D36" s="69">
        <f>60399*1.02%+60399</f>
        <v>61015.069799999997</v>
      </c>
      <c r="E36" s="69">
        <f>101983*1.02%+101983</f>
        <v>103023.22659999999</v>
      </c>
      <c r="F36" s="69">
        <f>108654*1.02%+108654</f>
        <v>109762.2708</v>
      </c>
      <c r="G36" s="69">
        <f>121249*1.02%+121249</f>
        <v>122485.7398</v>
      </c>
      <c r="H36" s="93"/>
      <c r="J36" s="54"/>
      <c r="K36" s="54"/>
      <c r="L36" s="54"/>
      <c r="M36" s="54"/>
    </row>
    <row r="37" spans="1:13" x14ac:dyDescent="0.35">
      <c r="A37" s="348"/>
      <c r="B37" s="67"/>
      <c r="C37" s="71" t="s">
        <v>37</v>
      </c>
      <c r="D37" s="69">
        <f>61605*1.02%+61605</f>
        <v>62233.370999999999</v>
      </c>
      <c r="E37" s="69">
        <f>103188*1.02%+103188</f>
        <v>104240.51760000001</v>
      </c>
      <c r="F37" s="69">
        <f>109860*1.02%+109860</f>
        <v>110980.572</v>
      </c>
      <c r="G37" s="69">
        <f>122454*1.02%+122454</f>
        <v>123703.03079999999</v>
      </c>
      <c r="H37" s="93"/>
      <c r="J37" s="54"/>
      <c r="K37" s="54"/>
      <c r="L37" s="54"/>
      <c r="M37" s="54"/>
    </row>
    <row r="38" spans="1:13" x14ac:dyDescent="0.35">
      <c r="A38" s="348"/>
      <c r="B38" s="67"/>
      <c r="C38" s="68"/>
      <c r="D38" s="69"/>
      <c r="E38" s="69"/>
      <c r="F38" s="69"/>
      <c r="G38" s="69"/>
      <c r="H38" s="54"/>
      <c r="J38" s="54"/>
      <c r="K38" s="54"/>
      <c r="L38" s="54"/>
      <c r="M38" s="54"/>
    </row>
    <row r="39" spans="1:13" x14ac:dyDescent="0.35">
      <c r="A39" s="348"/>
      <c r="B39" s="67"/>
      <c r="C39" s="68"/>
      <c r="D39" s="72"/>
      <c r="E39" s="72"/>
      <c r="F39" s="72"/>
      <c r="G39" s="72"/>
      <c r="H39" s="54"/>
      <c r="J39" s="54"/>
      <c r="K39" s="54"/>
      <c r="L39" s="54"/>
      <c r="M39" s="54"/>
    </row>
    <row r="40" spans="1:13" x14ac:dyDescent="0.35">
      <c r="A40" s="348"/>
      <c r="B40" s="73" t="s">
        <v>38</v>
      </c>
      <c r="C40" s="74"/>
      <c r="D40" s="69">
        <f>8064*1.02%+8064</f>
        <v>8146.2528000000002</v>
      </c>
      <c r="E40" s="69">
        <f>13848*1.02%+13848</f>
        <v>13989.249599999999</v>
      </c>
      <c r="F40" s="69">
        <f>14775*1.02%+14775</f>
        <v>14925.705</v>
      </c>
      <c r="G40" s="69">
        <f>16526*1.02%+16526</f>
        <v>16694.565200000001</v>
      </c>
      <c r="H40" s="93"/>
      <c r="J40" s="54"/>
      <c r="K40" s="54"/>
      <c r="L40" s="54"/>
      <c r="M40" s="54"/>
    </row>
    <row r="41" spans="1:13" x14ac:dyDescent="0.35">
      <c r="A41" s="348"/>
      <c r="B41" s="73"/>
      <c r="C41" s="68">
        <v>1</v>
      </c>
      <c r="D41" s="69">
        <f>11291*1.02%+11291</f>
        <v>11406.1682</v>
      </c>
      <c r="E41" s="69">
        <f>19387*1.02%+19387</f>
        <v>19584.7474</v>
      </c>
      <c r="F41" s="69">
        <f>20685*1.02%+20685</f>
        <v>20895.987000000001</v>
      </c>
      <c r="G41" s="69">
        <f>23137*1.02%+23137</f>
        <v>23372.9974</v>
      </c>
      <c r="H41" s="93"/>
      <c r="J41" s="54"/>
      <c r="K41" s="54"/>
      <c r="L41" s="54"/>
      <c r="M41" s="54"/>
    </row>
    <row r="42" spans="1:13" x14ac:dyDescent="0.35">
      <c r="A42" s="348"/>
      <c r="B42" s="73"/>
      <c r="C42" s="68">
        <v>2</v>
      </c>
      <c r="D42" s="69">
        <f>18970*1.02%+18970</f>
        <v>19163.493999999999</v>
      </c>
      <c r="E42" s="69">
        <f>32575*1.02%+32575</f>
        <v>32907.264999999999</v>
      </c>
      <c r="F42" s="69">
        <f>34758*1.02%+34758</f>
        <v>35112.531600000002</v>
      </c>
      <c r="G42" s="69">
        <f>38877*1.02%+38877</f>
        <v>39273.545400000003</v>
      </c>
      <c r="H42" s="93"/>
      <c r="J42" s="54"/>
      <c r="K42" s="54"/>
      <c r="L42" s="54"/>
      <c r="M42" s="54"/>
    </row>
    <row r="43" spans="1:13" x14ac:dyDescent="0.35">
      <c r="A43" s="348"/>
      <c r="B43" s="73"/>
      <c r="C43" s="68">
        <v>3</v>
      </c>
      <c r="D43" s="69">
        <f>26652*1.02%+26652</f>
        <v>26923.850399999999</v>
      </c>
      <c r="E43" s="69">
        <f>45763*1.02%+45763</f>
        <v>46229.782599999999</v>
      </c>
      <c r="F43" s="69">
        <f>48828*1.02%+48828</f>
        <v>49326.045599999998</v>
      </c>
      <c r="G43" s="69">
        <f>54617*1.02%+54617</f>
        <v>55174.093399999998</v>
      </c>
      <c r="H43" s="93"/>
      <c r="J43" s="54"/>
      <c r="K43" s="54"/>
      <c r="L43" s="54"/>
      <c r="M43" s="54"/>
    </row>
    <row r="44" spans="1:13" x14ac:dyDescent="0.35">
      <c r="A44" s="348"/>
      <c r="B44" s="73"/>
      <c r="C44" s="68">
        <v>4</v>
      </c>
      <c r="D44" s="69">
        <f>33486*1.02%+33486</f>
        <v>33827.557200000003</v>
      </c>
      <c r="E44" s="69">
        <f>57501*1.02%+57501</f>
        <v>58087.510199999997</v>
      </c>
      <c r="F44" s="69">
        <f>61353*1.02%+61353</f>
        <v>61978.800600000002</v>
      </c>
      <c r="G44" s="69">
        <f>68626*1.02%+68626</f>
        <v>69325.985199999996</v>
      </c>
      <c r="H44" s="93"/>
      <c r="J44" s="54"/>
      <c r="K44" s="54"/>
      <c r="L44" s="54"/>
      <c r="M44" s="54"/>
    </row>
    <row r="45" spans="1:13" x14ac:dyDescent="0.35">
      <c r="A45" s="348"/>
      <c r="B45" s="73"/>
      <c r="C45" s="68">
        <v>5</v>
      </c>
      <c r="D45" s="69">
        <f>40323*1.02%+40323</f>
        <v>40734.294600000001</v>
      </c>
      <c r="E45" s="69">
        <f>69237*1.02%+69237</f>
        <v>69943.217399999994</v>
      </c>
      <c r="F45" s="69">
        <f>73878*1.02%+73878</f>
        <v>74631.555600000007</v>
      </c>
      <c r="G45" s="69">
        <f>82634*1.02%+82634</f>
        <v>83476.866800000003</v>
      </c>
      <c r="H45" s="93"/>
      <c r="J45" s="54"/>
      <c r="K45" s="54"/>
      <c r="L45" s="54"/>
      <c r="M45" s="54"/>
    </row>
    <row r="46" spans="1:13" x14ac:dyDescent="0.35">
      <c r="A46" s="348"/>
      <c r="B46" s="73"/>
      <c r="C46" s="68">
        <v>6</v>
      </c>
      <c r="D46" s="69">
        <f>46850*1.02%+46850</f>
        <v>47327.87</v>
      </c>
      <c r="E46" s="69">
        <f>80447*1.02%+80447</f>
        <v>81267.559399999998</v>
      </c>
      <c r="F46" s="69">
        <f>85838*1.02%+85838</f>
        <v>86713.547600000005</v>
      </c>
      <c r="G46" s="69">
        <f>96013*1.02%+96013</f>
        <v>96992.332599999994</v>
      </c>
      <c r="H46" s="93"/>
      <c r="J46" s="54"/>
      <c r="K46" s="54"/>
      <c r="L46" s="54"/>
      <c r="M46" s="54"/>
    </row>
    <row r="47" spans="1:13" x14ac:dyDescent="0.35">
      <c r="A47" s="348"/>
      <c r="B47" s="73"/>
      <c r="C47" s="68">
        <v>7</v>
      </c>
      <c r="D47" s="69">
        <f>53378*1.02%+53378</f>
        <v>53922.455600000001</v>
      </c>
      <c r="E47" s="69">
        <f>91658*1.02%+91658</f>
        <v>92592.911600000007</v>
      </c>
      <c r="F47" s="69">
        <f>97799*1.02%+97799</f>
        <v>98796.549799999993</v>
      </c>
      <c r="G47" s="69">
        <f>109393*1.02%+109393</f>
        <v>110508.8086</v>
      </c>
      <c r="H47" s="93"/>
      <c r="J47" s="54"/>
      <c r="K47" s="54"/>
      <c r="L47" s="54"/>
      <c r="M47" s="54"/>
    </row>
    <row r="48" spans="1:13" x14ac:dyDescent="0.35">
      <c r="A48" s="348"/>
      <c r="B48" s="73"/>
      <c r="C48" s="70" t="s">
        <v>34</v>
      </c>
      <c r="D48" s="69">
        <f>59907*1.02%+59907</f>
        <v>60518.051399999997</v>
      </c>
      <c r="E48" s="69">
        <f>102867*1.02%+102867</f>
        <v>103916.24340000001</v>
      </c>
      <c r="F48" s="69">
        <f>113376*1.02%+113376</f>
        <v>114532.43520000001</v>
      </c>
      <c r="G48" s="69">
        <f>122771*1.02%+122771</f>
        <v>124023.26420000001</v>
      </c>
      <c r="H48" s="93"/>
      <c r="J48" s="54"/>
      <c r="K48" s="54"/>
      <c r="L48" s="54"/>
      <c r="M48" s="54"/>
    </row>
    <row r="49" spans="1:13" x14ac:dyDescent="0.35">
      <c r="A49" s="348"/>
      <c r="B49" s="73"/>
      <c r="C49" s="68"/>
      <c r="D49" s="69"/>
      <c r="E49" s="69"/>
      <c r="F49" s="69"/>
      <c r="G49" s="69"/>
      <c r="H49" s="54"/>
      <c r="J49" s="54"/>
      <c r="K49" s="54"/>
      <c r="L49" s="54"/>
      <c r="M49" s="54"/>
    </row>
    <row r="50" spans="1:13" x14ac:dyDescent="0.35">
      <c r="A50" s="348"/>
      <c r="B50" s="73"/>
      <c r="C50" s="70" t="s">
        <v>35</v>
      </c>
      <c r="D50" s="69">
        <f>61114*1.02%+61114</f>
        <v>61737.362800000003</v>
      </c>
      <c r="E50" s="69">
        <f>104073*1.02%+104073</f>
        <v>105134.54459999999</v>
      </c>
      <c r="F50" s="69">
        <f>110965*1.02%+110965</f>
        <v>112096.84299999999</v>
      </c>
      <c r="G50" s="69">
        <f>123978*1.02%+123978</f>
        <v>125242.5756</v>
      </c>
      <c r="H50" s="93"/>
      <c r="J50" s="54"/>
      <c r="K50" s="54"/>
      <c r="L50" s="54"/>
      <c r="M50" s="54"/>
    </row>
    <row r="51" spans="1:13" x14ac:dyDescent="0.35">
      <c r="A51" s="348"/>
      <c r="B51" s="73"/>
      <c r="C51" s="70" t="s">
        <v>36</v>
      </c>
      <c r="D51" s="69">
        <f>62319*1.02%+62319</f>
        <v>62954.6538</v>
      </c>
      <c r="E51" s="69">
        <f>105280*1.02%+105280</f>
        <v>106353.856</v>
      </c>
      <c r="F51" s="69">
        <f>112172*1.02%+112172</f>
        <v>113316.1544</v>
      </c>
      <c r="G51" s="69">
        <f>125184*1.02%+125184</f>
        <v>126460.8768</v>
      </c>
      <c r="H51" s="93"/>
      <c r="J51" s="54"/>
      <c r="K51" s="54"/>
      <c r="L51" s="54"/>
      <c r="M51" s="54"/>
    </row>
    <row r="52" spans="1:13" x14ac:dyDescent="0.35">
      <c r="A52" s="348"/>
      <c r="B52" s="73"/>
      <c r="C52" s="74" t="s">
        <v>37</v>
      </c>
      <c r="D52" s="69">
        <f>63526*1.02%+63526</f>
        <v>64173.965199999999</v>
      </c>
      <c r="E52" s="69">
        <f>106485*1.02%+106485</f>
        <v>107571.147</v>
      </c>
      <c r="F52" s="69">
        <f>113376*1.02%+113376</f>
        <v>114532.43520000001</v>
      </c>
      <c r="G52" s="69">
        <f>126390*1.02%+126390</f>
        <v>127679.178</v>
      </c>
      <c r="H52" s="93"/>
      <c r="J52" s="54"/>
      <c r="K52" s="54"/>
      <c r="L52" s="54"/>
      <c r="M52" s="54"/>
    </row>
    <row r="53" spans="1:13" x14ac:dyDescent="0.35">
      <c r="A53" s="348"/>
      <c r="B53" s="73"/>
      <c r="C53" s="75"/>
      <c r="D53" s="75"/>
      <c r="E53" s="75"/>
      <c r="F53" s="75"/>
      <c r="G53" s="75"/>
      <c r="H53" s="54"/>
      <c r="J53" s="54"/>
      <c r="K53" s="54"/>
      <c r="L53" s="54"/>
      <c r="M53" s="54"/>
    </row>
    <row r="54" spans="1:13" x14ac:dyDescent="0.35">
      <c r="A54" s="348"/>
      <c r="B54" s="73"/>
      <c r="C54" s="68"/>
      <c r="D54" s="72"/>
      <c r="E54" s="72"/>
      <c r="F54" s="72"/>
      <c r="G54" s="72"/>
      <c r="H54" s="54"/>
      <c r="J54" s="54"/>
      <c r="K54" s="54"/>
      <c r="L54" s="54"/>
      <c r="M54" s="54"/>
    </row>
    <row r="55" spans="1:13" x14ac:dyDescent="0.35">
      <c r="A55" s="348"/>
      <c r="B55" s="73" t="s">
        <v>39</v>
      </c>
      <c r="C55" s="74"/>
      <c r="D55" s="69">
        <f>8448*1.02%+8448</f>
        <v>8534.1695999999993</v>
      </c>
      <c r="E55" s="69">
        <f>14507*1.02%+14507</f>
        <v>14654.9714</v>
      </c>
      <c r="F55" s="69">
        <f>15479*1.02%+15479</f>
        <v>15636.8858</v>
      </c>
      <c r="G55" s="69">
        <f>17314*1.02%+17314</f>
        <v>17490.602800000001</v>
      </c>
      <c r="H55" s="93"/>
      <c r="J55" s="54"/>
      <c r="K55" s="54"/>
      <c r="L55" s="54"/>
      <c r="M55" s="54"/>
    </row>
    <row r="56" spans="1:13" x14ac:dyDescent="0.35">
      <c r="A56" s="348"/>
      <c r="B56" s="73"/>
      <c r="C56" s="68">
        <v>1</v>
      </c>
      <c r="D56" s="69">
        <f>13210*1.02%+13210</f>
        <v>13344.742</v>
      </c>
      <c r="E56" s="69">
        <f>22684*1.02%+22684</f>
        <v>22915.376799999998</v>
      </c>
      <c r="F56" s="69">
        <f>24204*1.02%+24204</f>
        <v>24450.880799999999</v>
      </c>
      <c r="G56" s="69">
        <f>71614*1.02%+71614</f>
        <v>72344.462799999994</v>
      </c>
      <c r="H56" s="93"/>
      <c r="J56" s="54"/>
      <c r="K56" s="54"/>
      <c r="L56" s="54"/>
      <c r="M56" s="54"/>
    </row>
    <row r="57" spans="1:13" x14ac:dyDescent="0.35">
      <c r="A57" s="348"/>
      <c r="B57" s="73"/>
      <c r="C57" s="68">
        <v>2</v>
      </c>
      <c r="D57" s="69">
        <f>20891*1.02%+20891</f>
        <v>21104.088199999998</v>
      </c>
      <c r="E57" s="69">
        <f>35871*1.02%+35871</f>
        <v>36236.8842</v>
      </c>
      <c r="F57" s="69">
        <f>38276*1.02%+38276</f>
        <v>38666.415200000003</v>
      </c>
      <c r="G57" s="69">
        <f>42812*1.02%+42812</f>
        <v>43248.682399999998</v>
      </c>
      <c r="H57" s="93"/>
      <c r="J57" s="54"/>
      <c r="K57" s="54"/>
      <c r="L57" s="54"/>
      <c r="M57" s="54"/>
    </row>
    <row r="58" spans="1:13" x14ac:dyDescent="0.35">
      <c r="A58" s="348"/>
      <c r="B58" s="73"/>
      <c r="C58" s="68">
        <v>3</v>
      </c>
      <c r="D58" s="69">
        <f>28571*1.02%+28571</f>
        <v>28862.424200000001</v>
      </c>
      <c r="E58" s="69">
        <f>49061*1.02%+49061</f>
        <v>49561.422200000001</v>
      </c>
      <c r="F58" s="69">
        <f>52347*1.02%+52347</f>
        <v>52880.939400000003</v>
      </c>
      <c r="G58" s="69">
        <f>58553*1.02%+58553</f>
        <v>59150.240599999997</v>
      </c>
      <c r="H58" s="93"/>
      <c r="J58" s="54"/>
      <c r="K58" s="54"/>
      <c r="L58" s="54"/>
      <c r="M58" s="54"/>
    </row>
    <row r="59" spans="1:13" x14ac:dyDescent="0.35">
      <c r="A59" s="348"/>
      <c r="B59" s="73"/>
      <c r="C59" s="68">
        <v>4</v>
      </c>
      <c r="D59" s="69">
        <f>35406*1.02%+35406</f>
        <v>35767.141199999998</v>
      </c>
      <c r="E59" s="69">
        <f>60798*1.02%+60798</f>
        <v>61418.139600000002</v>
      </c>
      <c r="F59" s="69">
        <f>64871*1.02%+64871</f>
        <v>65532.684200000003</v>
      </c>
      <c r="G59" s="69">
        <f>72561*1.02%+72561</f>
        <v>73301.122199999998</v>
      </c>
      <c r="H59" s="93"/>
      <c r="J59" s="54"/>
      <c r="K59" s="54"/>
      <c r="L59" s="54"/>
      <c r="M59" s="54"/>
    </row>
    <row r="60" spans="1:13" x14ac:dyDescent="0.35">
      <c r="A60" s="348"/>
      <c r="B60" s="73"/>
      <c r="C60" s="68">
        <v>5</v>
      </c>
      <c r="D60" s="69">
        <f>42243*1.02%+42243</f>
        <v>42673.878599999996</v>
      </c>
      <c r="E60" s="69">
        <f>72534*1.02%+72534</f>
        <v>73273.846799999999</v>
      </c>
      <c r="F60" s="69">
        <f>77395*1.02%+77395</f>
        <v>78184.429000000004</v>
      </c>
      <c r="G60" s="69">
        <f>86570*1.02%+86570</f>
        <v>87453.013999999996</v>
      </c>
      <c r="H60" s="93"/>
      <c r="J60" s="54"/>
      <c r="K60" s="54"/>
      <c r="L60" s="54"/>
      <c r="M60" s="54"/>
    </row>
    <row r="61" spans="1:13" x14ac:dyDescent="0.35">
      <c r="A61" s="348"/>
      <c r="B61" s="73"/>
      <c r="C61" s="68">
        <v>6</v>
      </c>
      <c r="D61" s="69">
        <f>48771*1.02%+48771</f>
        <v>49268.464200000002</v>
      </c>
      <c r="E61" s="69">
        <f>83745*1.02%+83745</f>
        <v>84599.198999999993</v>
      </c>
      <c r="F61" s="69">
        <f>89356*1.02%+89356</f>
        <v>90267.431200000006</v>
      </c>
      <c r="G61" s="69">
        <f>99949*1.02%+99949</f>
        <v>100968.4798</v>
      </c>
      <c r="H61" s="93"/>
      <c r="J61" s="54"/>
      <c r="K61" s="54"/>
      <c r="L61" s="54"/>
      <c r="M61" s="54"/>
    </row>
    <row r="62" spans="1:13" x14ac:dyDescent="0.35">
      <c r="A62" s="348"/>
      <c r="B62" s="73"/>
      <c r="C62" s="68">
        <v>7</v>
      </c>
      <c r="D62" s="69">
        <f>55299*1.02%+55299</f>
        <v>55863.049800000001</v>
      </c>
      <c r="E62" s="69">
        <f>94954*1.02%+94954</f>
        <v>95922.530799999993</v>
      </c>
      <c r="F62" s="69">
        <f>101316*1.02%+101316</f>
        <v>102349.4232</v>
      </c>
      <c r="G62" s="69">
        <f>113328*1.02%+113328</f>
        <v>114483.94560000001</v>
      </c>
      <c r="H62" s="93"/>
      <c r="J62" s="54"/>
      <c r="K62" s="54"/>
      <c r="L62" s="54"/>
      <c r="M62" s="54"/>
    </row>
    <row r="63" spans="1:13" x14ac:dyDescent="0.35">
      <c r="A63" s="348"/>
      <c r="B63" s="73"/>
      <c r="C63" s="70" t="s">
        <v>34</v>
      </c>
      <c r="D63" s="69">
        <f>61828*1.02%+61828</f>
        <v>62458.645600000003</v>
      </c>
      <c r="E63" s="69">
        <f>106166*1.02%+106166</f>
        <v>107248.89320000001</v>
      </c>
      <c r="F63" s="69">
        <f>113278*1.02%+113278</f>
        <v>114433.4356</v>
      </c>
      <c r="G63" s="69">
        <f>126706*1.02%+126706</f>
        <v>127998.40119999999</v>
      </c>
      <c r="H63" s="93"/>
      <c r="J63" s="54"/>
      <c r="K63" s="54"/>
      <c r="L63" s="54"/>
      <c r="M63" s="54"/>
    </row>
    <row r="64" spans="1:13" x14ac:dyDescent="0.35">
      <c r="A64" s="348"/>
      <c r="B64" s="73"/>
      <c r="C64" s="68"/>
      <c r="D64" s="69"/>
      <c r="E64" s="69"/>
      <c r="F64" s="69"/>
      <c r="G64" s="69"/>
      <c r="J64" s="54"/>
      <c r="K64" s="54"/>
      <c r="L64" s="54"/>
      <c r="M64" s="54"/>
    </row>
    <row r="65" spans="1:13" x14ac:dyDescent="0.35">
      <c r="A65" s="348"/>
      <c r="B65" s="73"/>
      <c r="C65" s="70" t="s">
        <v>35</v>
      </c>
      <c r="D65" s="69">
        <f>63034*1.02%+63034</f>
        <v>63676.946799999998</v>
      </c>
      <c r="E65" s="69">
        <f>107370*1.02%+107370</f>
        <v>108465.174</v>
      </c>
      <c r="F65" s="69">
        <f>114485*1.02%+114485</f>
        <v>115652.747</v>
      </c>
      <c r="G65" s="69">
        <f>127912*1.02%+127912</f>
        <v>129216.70239999999</v>
      </c>
      <c r="H65" s="93"/>
      <c r="J65" s="54"/>
      <c r="K65" s="54"/>
      <c r="L65" s="54"/>
      <c r="M65" s="54"/>
    </row>
    <row r="66" spans="1:13" x14ac:dyDescent="0.35">
      <c r="A66" s="348"/>
      <c r="B66" s="73"/>
      <c r="C66" s="70" t="s">
        <v>36</v>
      </c>
      <c r="D66" s="69">
        <f>64238*1.02%+64238</f>
        <v>64893.227599999998</v>
      </c>
      <c r="E66" s="69">
        <f>108577*1.02%+108577</f>
        <v>109684.48540000001</v>
      </c>
      <c r="F66" s="69">
        <f>115689*1.02%+115689</f>
        <v>116869.0278</v>
      </c>
      <c r="G66" s="69">
        <f>129118*1.02%+129118</f>
        <v>130435.0036</v>
      </c>
      <c r="H66" s="93"/>
      <c r="J66" s="54"/>
      <c r="K66" s="54"/>
      <c r="L66" s="54"/>
      <c r="M66" s="54"/>
    </row>
    <row r="67" spans="1:13" x14ac:dyDescent="0.35">
      <c r="A67" s="348"/>
      <c r="B67" s="73"/>
      <c r="C67" s="71" t="s">
        <v>37</v>
      </c>
      <c r="D67" s="69">
        <f>65445*1.02%+65445</f>
        <v>66112.539000000004</v>
      </c>
      <c r="E67" s="69">
        <f>109783*1.02%+109783</f>
        <v>110902.78660000001</v>
      </c>
      <c r="F67" s="69">
        <f>116895*1.02%+116895</f>
        <v>118087.329</v>
      </c>
      <c r="G67" s="69">
        <f>130324*1.02%+130324</f>
        <v>131653.30480000001</v>
      </c>
      <c r="H67" s="93"/>
      <c r="J67" s="54"/>
      <c r="K67" s="54"/>
      <c r="L67" s="54"/>
      <c r="M67" s="54"/>
    </row>
    <row r="68" spans="1:13" x14ac:dyDescent="0.35">
      <c r="A68" s="349"/>
      <c r="B68" s="73"/>
      <c r="C68" s="75"/>
      <c r="D68" s="75"/>
      <c r="E68" s="75"/>
      <c r="F68" s="75"/>
      <c r="G68" s="75"/>
    </row>
    <row r="69" spans="1:13" hidden="1" x14ac:dyDescent="0.35">
      <c r="A69" s="76"/>
      <c r="B69" s="77"/>
      <c r="C69" s="77"/>
      <c r="D69" s="77"/>
      <c r="E69" s="78"/>
      <c r="F69" s="78"/>
      <c r="G69" s="78"/>
    </row>
  </sheetData>
  <sheetProtection selectLockedCells="1"/>
  <mergeCells count="16">
    <mergeCell ref="A22:G23"/>
    <mergeCell ref="A24:A68"/>
    <mergeCell ref="A18:A19"/>
    <mergeCell ref="F12:G12"/>
    <mergeCell ref="C12:E12"/>
    <mergeCell ref="B15:I15"/>
    <mergeCell ref="B16:I16"/>
    <mergeCell ref="B17:I17"/>
    <mergeCell ref="B18:I19"/>
    <mergeCell ref="C11:I11"/>
    <mergeCell ref="A14:I14"/>
    <mergeCell ref="A1:I1"/>
    <mergeCell ref="B9:I10"/>
    <mergeCell ref="A9:A10"/>
    <mergeCell ref="B2:D2"/>
    <mergeCell ref="F2:H2"/>
  </mergeCells>
  <phoneticPr fontId="18" type="noConversion"/>
  <dataValidations disablePrompts="1" count="1">
    <dataValidation type="list" allowBlank="1" showInputMessage="1" showErrorMessage="1" sqref="B11" xr:uid="{00000000-0002-0000-0100-000000000000}">
      <formula1>$A$15:$A$19</formula1>
    </dataValidation>
  </dataValidations>
  <pageMargins left="0.5" right="0.5" top="0.5" bottom="0.5" header="0.5" footer="0.5"/>
  <pageSetup scale="7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34"/>
  <sheetViews>
    <sheetView showGridLines="0" zoomScaleNormal="100" workbookViewId="0">
      <selection activeCell="B3" sqref="B3"/>
    </sheetView>
  </sheetViews>
  <sheetFormatPr defaultColWidth="0" defaultRowHeight="12.9" zeroHeight="1" x14ac:dyDescent="0.35"/>
  <cols>
    <col min="1" max="1" width="40.53515625" customWidth="1"/>
    <col min="2" max="2" width="20.53515625" customWidth="1"/>
    <col min="3" max="3" width="12.84375" style="10" customWidth="1"/>
    <col min="4" max="7" width="12.84375" style="8" customWidth="1"/>
    <col min="8" max="8" width="12.84375" style="9" customWidth="1"/>
    <col min="9" max="9" width="9" customWidth="1"/>
    <col min="10" max="21" width="0" hidden="1" customWidth="1"/>
    <col min="22" max="16384" width="9" hidden="1"/>
  </cols>
  <sheetData>
    <row r="1" spans="1:21" ht="30.9" thickTop="1" thickBot="1" x14ac:dyDescent="0.75">
      <c r="A1" s="360" t="s">
        <v>194</v>
      </c>
      <c r="B1" s="361"/>
      <c r="C1" s="361"/>
      <c r="D1" s="361"/>
      <c r="E1" s="361"/>
      <c r="F1" s="361"/>
      <c r="G1" s="361"/>
      <c r="H1" s="361"/>
      <c r="I1" s="362"/>
      <c r="J1" s="1"/>
      <c r="K1" s="1"/>
      <c r="L1" s="1"/>
      <c r="M1" s="1"/>
      <c r="N1" s="1"/>
      <c r="O1" s="1"/>
      <c r="P1" s="1"/>
      <c r="Q1" s="1"/>
      <c r="R1" s="1"/>
      <c r="S1" s="1"/>
      <c r="T1" s="1"/>
      <c r="U1" s="1"/>
    </row>
    <row r="2" spans="1:21" ht="13.3" thickTop="1" x14ac:dyDescent="0.35">
      <c r="A2" s="11"/>
      <c r="B2" s="11"/>
      <c r="C2"/>
      <c r="D2" s="12"/>
      <c r="E2" s="13"/>
      <c r="H2" s="8"/>
      <c r="I2" s="9"/>
    </row>
    <row r="3" spans="1:21" x14ac:dyDescent="0.35">
      <c r="A3" s="11" t="s">
        <v>187</v>
      </c>
      <c r="B3" s="11">
        <f>'CACFP Worksheet'!B4:D4</f>
        <v>0</v>
      </c>
      <c r="C3"/>
      <c r="D3" s="236" t="s">
        <v>188</v>
      </c>
      <c r="E3" s="13"/>
      <c r="F3" s="237">
        <f>'CACFP Worksheet'!B5</f>
        <v>0</v>
      </c>
      <c r="H3" s="8"/>
      <c r="I3" s="9"/>
    </row>
    <row r="4" spans="1:21" x14ac:dyDescent="0.35">
      <c r="A4" s="4"/>
      <c r="B4" s="4"/>
      <c r="C4" s="2"/>
      <c r="D4" s="7"/>
      <c r="E4" s="3"/>
      <c r="F4" s="216"/>
      <c r="G4" s="5"/>
      <c r="H4" s="3"/>
      <c r="I4" s="6"/>
    </row>
    <row r="5" spans="1:21" x14ac:dyDescent="0.35">
      <c r="A5" s="4"/>
      <c r="B5" s="4"/>
      <c r="C5" s="2"/>
      <c r="D5" s="7"/>
      <c r="E5" s="3"/>
      <c r="F5" s="216"/>
      <c r="G5" s="5"/>
      <c r="H5" s="3"/>
      <c r="I5" s="6"/>
    </row>
    <row r="6" spans="1:21" x14ac:dyDescent="0.35">
      <c r="A6" s="4"/>
      <c r="B6" s="4"/>
      <c r="C6" s="2"/>
      <c r="D6" s="7"/>
      <c r="E6" s="3"/>
      <c r="F6" s="216"/>
      <c r="G6" s="5"/>
      <c r="H6" s="3"/>
      <c r="I6" s="6"/>
    </row>
    <row r="7" spans="1:21" x14ac:dyDescent="0.35">
      <c r="A7" s="4"/>
      <c r="B7" s="4"/>
      <c r="C7" s="2"/>
      <c r="D7" s="7"/>
      <c r="E7" s="3"/>
      <c r="F7" s="216"/>
      <c r="G7" s="5"/>
      <c r="H7" s="3"/>
      <c r="I7" s="6"/>
    </row>
    <row r="8" spans="1:21" x14ac:dyDescent="0.35">
      <c r="A8" s="4"/>
      <c r="B8" s="4"/>
      <c r="C8" s="2"/>
      <c r="D8" s="7"/>
      <c r="E8" s="3"/>
      <c r="F8" s="216"/>
      <c r="G8" s="5"/>
      <c r="H8" s="3"/>
      <c r="I8" s="6"/>
    </row>
    <row r="9" spans="1:21" x14ac:dyDescent="0.35">
      <c r="A9" s="4"/>
      <c r="B9" s="4"/>
      <c r="C9" s="2"/>
      <c r="D9" s="7"/>
      <c r="E9" s="3"/>
      <c r="F9" s="216"/>
      <c r="G9" s="5"/>
      <c r="H9" s="3"/>
      <c r="I9" s="6"/>
    </row>
    <row r="10" spans="1:21" x14ac:dyDescent="0.35">
      <c r="A10" s="4"/>
      <c r="B10" s="4"/>
      <c r="C10" s="2"/>
      <c r="D10" s="7"/>
      <c r="E10" s="3"/>
      <c r="F10" s="216"/>
      <c r="G10" s="5"/>
      <c r="H10" s="3"/>
      <c r="I10" s="6"/>
    </row>
    <row r="11" spans="1:21" x14ac:dyDescent="0.35">
      <c r="A11" s="4"/>
      <c r="B11" s="4"/>
      <c r="C11" s="2"/>
      <c r="D11" s="7"/>
      <c r="E11" s="3"/>
      <c r="F11" s="216"/>
      <c r="G11" s="5"/>
      <c r="H11" s="3"/>
      <c r="I11" s="6"/>
    </row>
    <row r="12" spans="1:21" x14ac:dyDescent="0.35">
      <c r="A12" s="4"/>
      <c r="B12" s="4"/>
      <c r="C12" s="2"/>
      <c r="D12" s="7"/>
      <c r="E12" s="3"/>
      <c r="F12" s="216"/>
      <c r="G12" s="5"/>
      <c r="H12" s="3"/>
      <c r="I12" s="6"/>
    </row>
    <row r="13" spans="1:21" x14ac:dyDescent="0.35">
      <c r="A13" s="4"/>
      <c r="B13" s="4"/>
      <c r="C13" s="2"/>
      <c r="D13" s="7"/>
      <c r="E13" s="3"/>
      <c r="F13" s="216"/>
      <c r="G13" s="5"/>
      <c r="H13" s="3"/>
      <c r="I13" s="6"/>
    </row>
    <row r="14" spans="1:21" x14ac:dyDescent="0.35">
      <c r="C14"/>
      <c r="D14" s="10"/>
      <c r="H14" s="8"/>
      <c r="I14" s="9"/>
    </row>
    <row r="15" spans="1:21" s="14" customFormat="1" x14ac:dyDescent="0.35">
      <c r="A15"/>
      <c r="B15"/>
      <c r="C15"/>
      <c r="D15" s="10"/>
      <c r="E15" s="8"/>
      <c r="F15" s="8"/>
      <c r="G15" s="8"/>
      <c r="H15" s="8"/>
      <c r="I15" s="9"/>
    </row>
    <row r="16" spans="1:21" ht="25.75" x14ac:dyDescent="0.35">
      <c r="A16" s="217" t="s">
        <v>1</v>
      </c>
      <c r="B16" s="217" t="s">
        <v>171</v>
      </c>
      <c r="C16" s="217" t="s">
        <v>2</v>
      </c>
      <c r="D16" s="218" t="s">
        <v>6</v>
      </c>
      <c r="E16" s="219" t="s">
        <v>172</v>
      </c>
      <c r="F16" s="220" t="s">
        <v>189</v>
      </c>
      <c r="G16" s="220" t="s">
        <v>190</v>
      </c>
      <c r="H16" s="220" t="s">
        <v>195</v>
      </c>
      <c r="I16" s="220" t="s">
        <v>196</v>
      </c>
    </row>
    <row r="17" spans="1:9" x14ac:dyDescent="0.35">
      <c r="A17" s="221" t="s">
        <v>4</v>
      </c>
      <c r="B17" s="221"/>
      <c r="C17" s="221" t="s">
        <v>3</v>
      </c>
      <c r="D17" s="222">
        <v>1</v>
      </c>
      <c r="E17" s="223" t="s">
        <v>173</v>
      </c>
      <c r="F17" s="224">
        <v>50000</v>
      </c>
      <c r="G17" s="224">
        <v>9000</v>
      </c>
      <c r="H17" s="224">
        <f>F17*1.16</f>
        <v>57999.999999999993</v>
      </c>
      <c r="I17" s="224">
        <v>9000</v>
      </c>
    </row>
    <row r="18" spans="1:9" x14ac:dyDescent="0.35">
      <c r="A18" s="221" t="s">
        <v>7</v>
      </c>
      <c r="B18" s="221"/>
      <c r="C18" s="221" t="s">
        <v>174</v>
      </c>
      <c r="D18" s="222">
        <v>1</v>
      </c>
      <c r="E18" s="223" t="s">
        <v>42</v>
      </c>
      <c r="F18" s="224">
        <v>45000</v>
      </c>
      <c r="G18" s="224">
        <v>6250</v>
      </c>
      <c r="H18" s="224">
        <f>F18*1.16</f>
        <v>52200</v>
      </c>
      <c r="I18" s="224">
        <v>6406</v>
      </c>
    </row>
    <row r="19" spans="1:9" x14ac:dyDescent="0.35">
      <c r="A19" s="252"/>
      <c r="B19" s="253"/>
      <c r="C19" s="252" t="s">
        <v>175</v>
      </c>
      <c r="D19" s="253"/>
      <c r="E19" s="253"/>
      <c r="F19" s="253"/>
      <c r="G19" s="253"/>
      <c r="H19" s="253"/>
      <c r="I19" s="254"/>
    </row>
    <row r="20" spans="1:9" x14ac:dyDescent="0.35">
      <c r="A20" s="225"/>
      <c r="B20" s="225"/>
      <c r="C20" s="225"/>
      <c r="D20" s="15"/>
      <c r="E20" s="226"/>
      <c r="F20" s="227"/>
      <c r="G20" s="228"/>
      <c r="H20" s="229"/>
      <c r="I20" s="228"/>
    </row>
    <row r="21" spans="1:9" x14ac:dyDescent="0.35">
      <c r="A21" s="225"/>
      <c r="B21" s="225"/>
      <c r="C21" s="225"/>
      <c r="D21" s="15"/>
      <c r="E21" s="226"/>
      <c r="F21" s="230"/>
      <c r="G21" s="228"/>
      <c r="H21" s="229"/>
      <c r="I21" s="228"/>
    </row>
    <row r="22" spans="1:9" x14ac:dyDescent="0.35">
      <c r="A22" s="225"/>
      <c r="B22" s="225"/>
      <c r="C22" s="225"/>
      <c r="D22" s="15"/>
      <c r="E22" s="226"/>
      <c r="F22" s="230"/>
      <c r="G22" s="228"/>
      <c r="H22" s="229"/>
      <c r="I22" s="228"/>
    </row>
    <row r="23" spans="1:9" x14ac:dyDescent="0.35">
      <c r="A23" s="225"/>
      <c r="B23" s="225"/>
      <c r="C23" s="225"/>
      <c r="D23" s="15"/>
      <c r="E23" s="226"/>
      <c r="F23" s="230"/>
      <c r="G23" s="228"/>
      <c r="H23" s="229"/>
      <c r="I23" s="228"/>
    </row>
    <row r="24" spans="1:9" x14ac:dyDescent="0.35">
      <c r="A24" s="225"/>
      <c r="B24" s="225"/>
      <c r="C24" s="225"/>
      <c r="D24" s="15"/>
      <c r="E24" s="226"/>
      <c r="F24" s="230"/>
      <c r="G24" s="228"/>
      <c r="H24" s="229"/>
      <c r="I24" s="228"/>
    </row>
    <row r="25" spans="1:9" x14ac:dyDescent="0.35">
      <c r="A25" s="225"/>
      <c r="B25" s="225"/>
      <c r="C25" s="225"/>
      <c r="D25" s="15"/>
      <c r="E25" s="226"/>
      <c r="F25" s="230"/>
      <c r="G25" s="228"/>
      <c r="H25" s="229"/>
      <c r="I25" s="228"/>
    </row>
    <row r="26" spans="1:9" x14ac:dyDescent="0.35">
      <c r="A26" s="225"/>
      <c r="B26" s="225"/>
      <c r="C26" s="225"/>
      <c r="D26" s="15"/>
      <c r="E26" s="226"/>
      <c r="F26" s="230"/>
      <c r="G26" s="228"/>
      <c r="H26" s="229"/>
      <c r="I26" s="228"/>
    </row>
    <row r="27" spans="1:9" x14ac:dyDescent="0.35">
      <c r="A27" s="225"/>
      <c r="B27" s="225"/>
      <c r="C27" s="225"/>
      <c r="D27" s="15"/>
      <c r="E27" s="226"/>
      <c r="F27" s="230"/>
      <c r="G27" s="228"/>
      <c r="H27" s="229"/>
      <c r="I27" s="228"/>
    </row>
    <row r="28" spans="1:9" x14ac:dyDescent="0.35">
      <c r="A28" s="225"/>
      <c r="B28" s="225"/>
      <c r="C28" s="225"/>
      <c r="D28" s="15"/>
      <c r="E28" s="226"/>
      <c r="F28" s="230"/>
      <c r="G28" s="228"/>
      <c r="H28" s="229"/>
      <c r="I28" s="228"/>
    </row>
    <row r="29" spans="1:9" x14ac:dyDescent="0.35">
      <c r="A29" s="225"/>
      <c r="B29" s="225"/>
      <c r="C29" s="225"/>
      <c r="D29" s="15"/>
      <c r="E29" s="226"/>
      <c r="F29" s="230"/>
      <c r="G29" s="228"/>
      <c r="H29" s="229"/>
      <c r="I29" s="228"/>
    </row>
    <row r="30" spans="1:9" x14ac:dyDescent="0.35">
      <c r="A30" s="225"/>
      <c r="B30" s="225"/>
      <c r="C30" s="225"/>
      <c r="D30" s="15"/>
      <c r="E30" s="226"/>
      <c r="F30" s="230"/>
      <c r="G30" s="228"/>
      <c r="H30" s="229"/>
      <c r="I30" s="228"/>
    </row>
    <row r="31" spans="1:9" x14ac:dyDescent="0.35">
      <c r="A31" s="225"/>
      <c r="B31" s="225"/>
      <c r="C31" s="225"/>
      <c r="D31" s="15"/>
      <c r="E31" s="226"/>
      <c r="F31" s="230"/>
      <c r="G31" s="228"/>
      <c r="H31" s="229"/>
      <c r="I31" s="228"/>
    </row>
    <row r="32" spans="1:9" x14ac:dyDescent="0.35">
      <c r="A32" s="225"/>
      <c r="B32" s="225"/>
      <c r="C32" s="225"/>
      <c r="D32" s="15"/>
      <c r="E32" s="226"/>
      <c r="F32" s="230"/>
      <c r="G32" s="228"/>
      <c r="H32" s="229"/>
      <c r="I32" s="228"/>
    </row>
    <row r="33" spans="1:9" x14ac:dyDescent="0.35">
      <c r="A33" s="225"/>
      <c r="B33" s="225"/>
      <c r="C33" s="225"/>
      <c r="D33" s="15"/>
      <c r="E33" s="226"/>
      <c r="F33" s="230"/>
      <c r="G33" s="228"/>
      <c r="H33" s="229"/>
      <c r="I33" s="228"/>
    </row>
    <row r="34" spans="1:9" x14ac:dyDescent="0.35">
      <c r="A34" s="225"/>
      <c r="B34" s="225"/>
      <c r="C34" s="225"/>
      <c r="D34" s="15"/>
      <c r="E34" s="226"/>
      <c r="F34" s="230"/>
      <c r="G34" s="228"/>
      <c r="H34" s="229"/>
      <c r="I34" s="228"/>
    </row>
    <row r="35" spans="1:9" x14ac:dyDescent="0.35">
      <c r="A35" s="225"/>
      <c r="B35" s="225"/>
      <c r="C35" s="225"/>
      <c r="D35" s="15"/>
      <c r="E35" s="226"/>
      <c r="F35" s="230"/>
      <c r="G35" s="228"/>
      <c r="H35" s="229"/>
      <c r="I35" s="228"/>
    </row>
    <row r="36" spans="1:9" x14ac:dyDescent="0.35">
      <c r="A36" s="225"/>
      <c r="B36" s="225"/>
      <c r="C36" s="225"/>
      <c r="D36" s="15"/>
      <c r="E36" s="226"/>
      <c r="F36" s="230"/>
      <c r="G36" s="228"/>
      <c r="H36" s="229"/>
      <c r="I36" s="228"/>
    </row>
    <row r="37" spans="1:9" x14ac:dyDescent="0.35">
      <c r="A37" s="225"/>
      <c r="B37" s="225"/>
      <c r="C37" s="225"/>
      <c r="D37" s="15"/>
      <c r="E37" s="226"/>
      <c r="F37" s="230"/>
      <c r="G37" s="228"/>
      <c r="H37" s="229"/>
      <c r="I37" s="228"/>
    </row>
    <row r="38" spans="1:9" x14ac:dyDescent="0.35">
      <c r="A38" s="225"/>
      <c r="B38" s="225"/>
      <c r="C38" s="225"/>
      <c r="D38" s="15"/>
      <c r="E38" s="226"/>
      <c r="F38" s="230"/>
      <c r="G38" s="228"/>
      <c r="H38" s="229"/>
      <c r="I38" s="228"/>
    </row>
    <row r="39" spans="1:9" x14ac:dyDescent="0.35">
      <c r="A39" s="225"/>
      <c r="B39" s="225"/>
      <c r="C39" s="225"/>
      <c r="D39" s="15"/>
      <c r="E39" s="226"/>
      <c r="F39" s="230"/>
      <c r="G39" s="228"/>
      <c r="H39" s="229"/>
      <c r="I39" s="228"/>
    </row>
    <row r="40" spans="1:9" x14ac:dyDescent="0.35">
      <c r="A40" s="225"/>
      <c r="B40" s="225"/>
      <c r="C40" s="225"/>
      <c r="D40" s="15"/>
      <c r="E40" s="226"/>
      <c r="F40" s="230"/>
      <c r="G40" s="228"/>
      <c r="H40" s="229"/>
      <c r="I40" s="228"/>
    </row>
    <row r="41" spans="1:9" x14ac:dyDescent="0.35">
      <c r="A41" s="231"/>
      <c r="B41" s="231"/>
      <c r="C41" s="231"/>
      <c r="D41" s="232"/>
      <c r="E41" s="226"/>
      <c r="F41" s="230"/>
      <c r="G41" s="228"/>
      <c r="H41" s="229"/>
      <c r="I41" s="228"/>
    </row>
    <row r="42" spans="1:9" x14ac:dyDescent="0.35">
      <c r="A42" s="225"/>
      <c r="B42" s="225"/>
      <c r="C42" s="225"/>
      <c r="D42" s="15"/>
      <c r="E42" s="226"/>
      <c r="F42" s="230"/>
      <c r="G42" s="228"/>
      <c r="H42" s="229"/>
      <c r="I42" s="228"/>
    </row>
    <row r="43" spans="1:9" x14ac:dyDescent="0.35">
      <c r="A43" s="225"/>
      <c r="B43" s="225"/>
      <c r="C43" s="225"/>
      <c r="D43" s="15"/>
      <c r="E43" s="226"/>
      <c r="F43" s="230"/>
      <c r="G43" s="228"/>
      <c r="H43" s="229"/>
      <c r="I43" s="228"/>
    </row>
    <row r="44" spans="1:9" x14ac:dyDescent="0.35">
      <c r="A44" s="225"/>
      <c r="B44" s="225"/>
      <c r="C44" s="225"/>
      <c r="D44" s="15"/>
      <c r="E44" s="226"/>
      <c r="F44" s="230"/>
      <c r="G44" s="228"/>
      <c r="H44" s="229"/>
      <c r="I44" s="228"/>
    </row>
    <row r="45" spans="1:9" x14ac:dyDescent="0.35">
      <c r="A45" s="252"/>
      <c r="B45" s="253"/>
      <c r="C45" s="252" t="s">
        <v>176</v>
      </c>
      <c r="D45" s="253"/>
      <c r="E45" s="253"/>
      <c r="F45" s="253"/>
      <c r="G45" s="253"/>
      <c r="H45" s="253"/>
      <c r="I45" s="254"/>
    </row>
    <row r="46" spans="1:9" x14ac:dyDescent="0.35">
      <c r="A46" s="225"/>
      <c r="B46" s="225"/>
      <c r="C46" s="225"/>
      <c r="D46" s="15"/>
      <c r="E46" s="226"/>
      <c r="F46" s="230"/>
      <c r="G46" s="228"/>
      <c r="H46" s="229"/>
      <c r="I46" s="228"/>
    </row>
    <row r="47" spans="1:9" x14ac:dyDescent="0.35">
      <c r="A47" s="225"/>
      <c r="B47" s="225"/>
      <c r="C47" s="225"/>
      <c r="D47" s="15"/>
      <c r="E47" s="226"/>
      <c r="F47" s="230"/>
      <c r="G47" s="228"/>
      <c r="H47" s="229"/>
      <c r="I47" s="228"/>
    </row>
    <row r="48" spans="1:9" x14ac:dyDescent="0.35">
      <c r="A48" s="225"/>
      <c r="B48" s="225"/>
      <c r="C48" s="225"/>
      <c r="D48" s="15"/>
      <c r="E48" s="226"/>
      <c r="F48" s="230"/>
      <c r="G48" s="228"/>
      <c r="H48" s="229"/>
      <c r="I48" s="228"/>
    </row>
    <row r="49" spans="1:9" x14ac:dyDescent="0.35">
      <c r="A49" s="225"/>
      <c r="B49" s="225"/>
      <c r="C49" s="225"/>
      <c r="D49" s="15"/>
      <c r="E49" s="226"/>
      <c r="F49" s="230"/>
      <c r="G49" s="228"/>
      <c r="H49" s="229"/>
      <c r="I49" s="228"/>
    </row>
    <row r="50" spans="1:9" x14ac:dyDescent="0.35">
      <c r="A50" s="225"/>
      <c r="B50" s="225"/>
      <c r="C50" s="225"/>
      <c r="D50" s="15"/>
      <c r="E50" s="226"/>
      <c r="F50" s="230"/>
      <c r="G50" s="228"/>
      <c r="H50" s="229"/>
      <c r="I50" s="228"/>
    </row>
    <row r="51" spans="1:9" x14ac:dyDescent="0.35">
      <c r="A51" s="225"/>
      <c r="B51" s="225"/>
      <c r="C51" s="225"/>
      <c r="D51" s="15"/>
      <c r="E51" s="226"/>
      <c r="F51" s="230"/>
      <c r="G51" s="228"/>
      <c r="H51" s="229"/>
      <c r="I51" s="228"/>
    </row>
    <row r="52" spans="1:9" x14ac:dyDescent="0.35">
      <c r="A52" s="225"/>
      <c r="B52" s="225"/>
      <c r="C52" s="225"/>
      <c r="D52" s="15"/>
      <c r="E52" s="226"/>
      <c r="F52" s="230"/>
      <c r="G52" s="228"/>
      <c r="H52" s="229"/>
      <c r="I52" s="228"/>
    </row>
    <row r="53" spans="1:9" x14ac:dyDescent="0.35">
      <c r="A53" s="225"/>
      <c r="B53" s="225"/>
      <c r="C53" s="225"/>
      <c r="D53" s="15"/>
      <c r="E53" s="226"/>
      <c r="F53" s="230"/>
      <c r="G53" s="228"/>
      <c r="H53" s="229"/>
      <c r="I53" s="228"/>
    </row>
    <row r="54" spans="1:9" x14ac:dyDescent="0.35">
      <c r="A54" s="225"/>
      <c r="B54" s="225"/>
      <c r="C54" s="225"/>
      <c r="D54" s="15"/>
      <c r="E54" s="226"/>
      <c r="F54" s="230"/>
      <c r="G54" s="228"/>
      <c r="H54" s="229"/>
      <c r="I54" s="228"/>
    </row>
    <row r="55" spans="1:9" x14ac:dyDescent="0.35">
      <c r="A55" s="225"/>
      <c r="B55" s="225"/>
      <c r="C55" s="225"/>
      <c r="D55" s="15"/>
      <c r="E55" s="226"/>
      <c r="F55" s="230"/>
      <c r="G55" s="228"/>
      <c r="H55" s="229"/>
      <c r="I55" s="228"/>
    </row>
    <row r="56" spans="1:9" x14ac:dyDescent="0.35">
      <c r="A56" s="252"/>
      <c r="B56" s="253"/>
      <c r="C56" s="252" t="s">
        <v>177</v>
      </c>
      <c r="D56" s="253"/>
      <c r="E56" s="253"/>
      <c r="F56" s="253"/>
      <c r="G56" s="253"/>
      <c r="H56" s="253"/>
      <c r="I56" s="254"/>
    </row>
    <row r="57" spans="1:9" x14ac:dyDescent="0.35">
      <c r="A57" s="225"/>
      <c r="B57" s="225"/>
      <c r="C57" s="225"/>
      <c r="D57" s="15"/>
      <c r="E57" s="226"/>
      <c r="F57" s="230"/>
      <c r="G57" s="228"/>
      <c r="H57" s="229"/>
      <c r="I57" s="228"/>
    </row>
    <row r="58" spans="1:9" x14ac:dyDescent="0.35">
      <c r="A58" s="225"/>
      <c r="B58" s="225"/>
      <c r="C58" s="225"/>
      <c r="D58" s="15"/>
      <c r="E58" s="226"/>
      <c r="F58" s="230"/>
      <c r="G58" s="228"/>
      <c r="H58" s="229"/>
      <c r="I58" s="228"/>
    </row>
    <row r="59" spans="1:9" x14ac:dyDescent="0.35">
      <c r="A59" s="225"/>
      <c r="B59" s="225"/>
      <c r="C59" s="225"/>
      <c r="D59" s="15"/>
      <c r="E59" s="226"/>
      <c r="F59" s="230"/>
      <c r="G59" s="228"/>
      <c r="H59" s="229"/>
      <c r="I59" s="228"/>
    </row>
    <row r="60" spans="1:9" x14ac:dyDescent="0.35">
      <c r="A60" s="225"/>
      <c r="B60" s="225"/>
      <c r="C60" s="225"/>
      <c r="D60" s="15"/>
      <c r="E60" s="226"/>
      <c r="F60" s="230"/>
      <c r="G60" s="228"/>
      <c r="H60" s="229"/>
      <c r="I60" s="228"/>
    </row>
    <row r="61" spans="1:9" x14ac:dyDescent="0.35">
      <c r="A61" s="225"/>
      <c r="B61" s="225"/>
      <c r="C61" s="225"/>
      <c r="D61" s="15"/>
      <c r="E61" s="226"/>
      <c r="F61" s="230"/>
      <c r="G61" s="228"/>
      <c r="H61" s="229"/>
      <c r="I61" s="228"/>
    </row>
    <row r="62" spans="1:9" x14ac:dyDescent="0.35">
      <c r="A62" s="225"/>
      <c r="B62" s="225"/>
      <c r="C62" s="225"/>
      <c r="D62" s="15"/>
      <c r="E62" s="226"/>
      <c r="F62" s="230"/>
      <c r="G62" s="228"/>
      <c r="H62" s="229"/>
      <c r="I62" s="228"/>
    </row>
    <row r="63" spans="1:9" x14ac:dyDescent="0.35">
      <c r="A63" s="225"/>
      <c r="B63" s="225"/>
      <c r="C63" s="225"/>
      <c r="D63" s="15"/>
      <c r="E63" s="226"/>
      <c r="F63" s="230"/>
      <c r="G63" s="228"/>
      <c r="H63" s="229"/>
      <c r="I63" s="228"/>
    </row>
    <row r="64" spans="1:9" x14ac:dyDescent="0.35">
      <c r="A64" s="225"/>
      <c r="B64" s="225"/>
      <c r="C64" s="225"/>
      <c r="D64" s="15"/>
      <c r="E64" s="226"/>
      <c r="F64" s="230"/>
      <c r="G64" s="228"/>
      <c r="H64" s="229"/>
      <c r="I64" s="228"/>
    </row>
    <row r="65" spans="1:9" x14ac:dyDescent="0.35">
      <c r="A65" s="225"/>
      <c r="B65" s="225"/>
      <c r="C65" s="225"/>
      <c r="D65" s="15"/>
      <c r="E65" s="226"/>
      <c r="F65" s="230"/>
      <c r="G65" s="228"/>
      <c r="H65" s="229"/>
      <c r="I65" s="228"/>
    </row>
    <row r="66" spans="1:9" x14ac:dyDescent="0.35">
      <c r="A66" s="225"/>
      <c r="B66" s="225"/>
      <c r="C66" s="225"/>
      <c r="D66" s="15"/>
      <c r="E66" s="226"/>
      <c r="F66" s="230"/>
      <c r="G66" s="228"/>
      <c r="H66" s="229"/>
      <c r="I66" s="228"/>
    </row>
    <row r="67" spans="1:9" x14ac:dyDescent="0.35">
      <c r="A67" s="225"/>
      <c r="B67" s="225"/>
      <c r="C67" s="225"/>
      <c r="D67" s="15"/>
      <c r="E67" s="226"/>
      <c r="F67" s="230"/>
      <c r="G67" s="228"/>
      <c r="H67" s="229"/>
      <c r="I67" s="228"/>
    </row>
    <row r="68" spans="1:9" x14ac:dyDescent="0.35">
      <c r="A68" s="225"/>
      <c r="B68" s="225"/>
      <c r="C68" s="225"/>
      <c r="D68" s="15"/>
      <c r="E68" s="226"/>
      <c r="F68" s="230"/>
      <c r="G68" s="228"/>
      <c r="H68" s="229"/>
      <c r="I68" s="228"/>
    </row>
    <row r="69" spans="1:9" x14ac:dyDescent="0.35">
      <c r="A69" s="225"/>
      <c r="B69" s="225"/>
      <c r="C69" s="225"/>
      <c r="D69" s="15"/>
      <c r="E69" s="226"/>
      <c r="F69" s="230"/>
      <c r="G69" s="228"/>
      <c r="H69" s="229"/>
      <c r="I69" s="228"/>
    </row>
    <row r="70" spans="1:9" x14ac:dyDescent="0.35">
      <c r="A70" s="231"/>
      <c r="B70" s="231"/>
      <c r="C70" s="231"/>
      <c r="D70" s="232"/>
      <c r="E70" s="226"/>
      <c r="F70" s="230"/>
      <c r="G70" s="228"/>
      <c r="H70" s="229"/>
      <c r="I70" s="228"/>
    </row>
    <row r="71" spans="1:9" x14ac:dyDescent="0.35">
      <c r="A71" s="225"/>
      <c r="B71" s="225"/>
      <c r="C71" s="225"/>
      <c r="D71" s="15"/>
      <c r="E71" s="226"/>
      <c r="F71" s="230"/>
      <c r="G71" s="228"/>
      <c r="H71" s="229"/>
      <c r="I71" s="228"/>
    </row>
    <row r="72" spans="1:9" x14ac:dyDescent="0.35">
      <c r="A72" s="225"/>
      <c r="B72" s="225"/>
      <c r="C72" s="225"/>
      <c r="D72" s="15"/>
      <c r="E72" s="226"/>
      <c r="F72" s="230"/>
      <c r="G72" s="228"/>
      <c r="H72" s="229"/>
      <c r="I72" s="228"/>
    </row>
    <row r="73" spans="1:9" x14ac:dyDescent="0.35">
      <c r="A73" s="225"/>
      <c r="B73" s="225"/>
      <c r="C73" s="225"/>
      <c r="D73" s="15"/>
      <c r="E73" s="226"/>
      <c r="F73" s="230"/>
      <c r="G73" s="228"/>
      <c r="H73" s="229"/>
      <c r="I73" s="228"/>
    </row>
    <row r="74" spans="1:9" x14ac:dyDescent="0.35">
      <c r="A74" s="225"/>
      <c r="B74" s="225"/>
      <c r="C74" s="225"/>
      <c r="D74" s="15"/>
      <c r="E74" s="226"/>
      <c r="F74" s="230"/>
      <c r="G74" s="228"/>
      <c r="H74" s="229"/>
      <c r="I74" s="228"/>
    </row>
    <row r="75" spans="1:9" x14ac:dyDescent="0.35">
      <c r="A75" s="225"/>
      <c r="B75" s="225"/>
      <c r="C75" s="225"/>
      <c r="D75" s="15"/>
      <c r="E75" s="226"/>
      <c r="F75" s="230"/>
      <c r="G75" s="228"/>
      <c r="H75" s="229"/>
      <c r="I75" s="228"/>
    </row>
    <row r="76" spans="1:9" x14ac:dyDescent="0.35">
      <c r="A76" s="225"/>
      <c r="B76" s="225"/>
      <c r="C76" s="225"/>
      <c r="D76" s="15"/>
      <c r="E76" s="96"/>
      <c r="F76" s="230"/>
      <c r="G76" s="228"/>
      <c r="H76" s="229"/>
      <c r="I76" s="228"/>
    </row>
    <row r="77" spans="1:9" x14ac:dyDescent="0.35">
      <c r="A77" s="225"/>
      <c r="B77" s="225"/>
      <c r="C77" s="233"/>
      <c r="D77" s="15"/>
      <c r="E77" s="95"/>
      <c r="F77" s="230"/>
      <c r="G77" s="228"/>
      <c r="H77" s="229"/>
      <c r="I77" s="228"/>
    </row>
    <row r="78" spans="1:9" x14ac:dyDescent="0.35">
      <c r="A78" s="225"/>
      <c r="B78" s="225"/>
      <c r="C78" s="225"/>
      <c r="D78" s="15"/>
      <c r="E78" s="226"/>
      <c r="F78" s="230"/>
      <c r="G78" s="228"/>
      <c r="H78" s="229"/>
      <c r="I78" s="228"/>
    </row>
    <row r="79" spans="1:9" x14ac:dyDescent="0.35">
      <c r="A79" s="225"/>
      <c r="B79" s="225"/>
      <c r="C79" s="225"/>
      <c r="D79" s="15"/>
      <c r="E79" s="226"/>
      <c r="F79" s="230"/>
      <c r="G79" s="228"/>
      <c r="H79" s="229"/>
      <c r="I79" s="228"/>
    </row>
    <row r="80" spans="1:9" x14ac:dyDescent="0.35">
      <c r="A80" s="225"/>
      <c r="B80" s="225"/>
      <c r="C80" s="225"/>
      <c r="D80" s="15"/>
      <c r="E80" s="226"/>
      <c r="F80" s="230"/>
      <c r="G80" s="228"/>
      <c r="H80" s="229"/>
      <c r="I80" s="228"/>
    </row>
    <row r="81" spans="1:9" x14ac:dyDescent="0.35">
      <c r="A81" s="252"/>
      <c r="B81" s="253"/>
      <c r="C81" s="252" t="s">
        <v>178</v>
      </c>
      <c r="D81" s="253"/>
      <c r="E81" s="253"/>
      <c r="F81" s="253"/>
      <c r="G81" s="253"/>
      <c r="H81" s="253"/>
      <c r="I81" s="254"/>
    </row>
    <row r="82" spans="1:9" x14ac:dyDescent="0.35">
      <c r="A82" s="225"/>
      <c r="B82" s="225"/>
      <c r="C82" s="234"/>
      <c r="D82" s="15"/>
      <c r="E82" s="95"/>
      <c r="F82" s="230"/>
      <c r="G82" s="228"/>
      <c r="H82" s="229"/>
      <c r="I82" s="228"/>
    </row>
    <row r="83" spans="1:9" x14ac:dyDescent="0.35">
      <c r="A83" s="225"/>
      <c r="B83" s="225"/>
      <c r="C83" s="234"/>
      <c r="D83" s="15"/>
      <c r="E83" s="95"/>
      <c r="F83" s="230"/>
      <c r="G83" s="228"/>
      <c r="H83" s="229"/>
      <c r="I83" s="228"/>
    </row>
    <row r="84" spans="1:9" x14ac:dyDescent="0.35">
      <c r="A84" s="225"/>
      <c r="B84" s="225"/>
      <c r="C84" s="234"/>
      <c r="D84" s="15"/>
      <c r="E84" s="95"/>
      <c r="F84" s="230"/>
      <c r="G84" s="228"/>
      <c r="H84" s="229"/>
      <c r="I84" s="228"/>
    </row>
    <row r="85" spans="1:9" x14ac:dyDescent="0.35">
      <c r="A85" s="225"/>
      <c r="B85" s="225"/>
      <c r="C85" s="225"/>
      <c r="D85" s="15"/>
      <c r="E85" s="235"/>
      <c r="F85" s="230"/>
      <c r="G85" s="228"/>
      <c r="H85" s="229"/>
      <c r="I85" s="228"/>
    </row>
    <row r="86" spans="1:9" x14ac:dyDescent="0.35">
      <c r="A86" s="252"/>
      <c r="B86" s="253"/>
      <c r="C86" s="252" t="s">
        <v>179</v>
      </c>
      <c r="D86" s="253"/>
      <c r="E86" s="253"/>
      <c r="F86" s="253"/>
      <c r="G86" s="253"/>
      <c r="H86" s="253"/>
      <c r="I86" s="254"/>
    </row>
    <row r="87" spans="1:9" x14ac:dyDescent="0.35">
      <c r="A87" s="225"/>
      <c r="B87" s="225"/>
      <c r="C87" s="225"/>
      <c r="D87" s="15"/>
      <c r="E87" s="95"/>
      <c r="F87" s="230"/>
      <c r="G87" s="228"/>
      <c r="H87" s="229"/>
      <c r="I87" s="228"/>
    </row>
    <row r="88" spans="1:9" x14ac:dyDescent="0.35">
      <c r="A88" s="225"/>
      <c r="B88" s="225"/>
      <c r="C88" s="225"/>
      <c r="D88" s="15"/>
      <c r="E88" s="95"/>
      <c r="F88" s="230"/>
      <c r="G88" s="228"/>
      <c r="H88" s="229"/>
      <c r="I88" s="228"/>
    </row>
    <row r="89" spans="1:9" x14ac:dyDescent="0.35">
      <c r="A89" s="225"/>
      <c r="B89" s="225"/>
      <c r="C89" s="225"/>
      <c r="D89" s="15"/>
      <c r="E89" s="96"/>
      <c r="F89" s="230"/>
      <c r="G89" s="228"/>
      <c r="H89" s="229"/>
      <c r="I89" s="228"/>
    </row>
    <row r="90" spans="1:9" x14ac:dyDescent="0.35">
      <c r="A90" s="225"/>
      <c r="B90" s="225"/>
      <c r="C90" s="225"/>
      <c r="D90" s="15"/>
      <c r="E90" s="96"/>
      <c r="F90" s="230"/>
      <c r="G90" s="228"/>
      <c r="H90" s="229"/>
      <c r="I90" s="228"/>
    </row>
    <row r="91" spans="1:9" x14ac:dyDescent="0.35">
      <c r="A91" s="225"/>
      <c r="B91" s="225"/>
      <c r="C91" s="225"/>
      <c r="D91" s="15"/>
      <c r="E91" s="95"/>
      <c r="F91" s="230"/>
      <c r="G91" s="228"/>
      <c r="H91" s="229"/>
      <c r="I91" s="228"/>
    </row>
    <row r="92" spans="1:9" x14ac:dyDescent="0.35">
      <c r="A92" s="252"/>
      <c r="B92" s="253"/>
      <c r="C92" s="252" t="s">
        <v>179</v>
      </c>
      <c r="D92" s="253"/>
      <c r="E92" s="253"/>
      <c r="F92" s="253"/>
      <c r="G92" s="253"/>
      <c r="H92" s="253"/>
      <c r="I92" s="254"/>
    </row>
    <row r="93" spans="1:9" x14ac:dyDescent="0.35">
      <c r="A93" s="225"/>
      <c r="B93" s="225"/>
      <c r="C93" s="225"/>
      <c r="D93" s="15"/>
      <c r="E93" s="96"/>
      <c r="F93" s="230"/>
      <c r="G93" s="228"/>
      <c r="H93" s="229"/>
      <c r="I93" s="228"/>
    </row>
    <row r="94" spans="1:9" x14ac:dyDescent="0.35">
      <c r="A94" s="225"/>
      <c r="B94" s="225"/>
      <c r="C94" s="225"/>
      <c r="D94" s="15"/>
      <c r="E94" s="96"/>
      <c r="F94" s="230"/>
      <c r="G94" s="228"/>
      <c r="H94" s="229"/>
      <c r="I94" s="228"/>
    </row>
    <row r="95" spans="1:9" x14ac:dyDescent="0.35">
      <c r="A95" s="225"/>
      <c r="B95" s="225"/>
      <c r="C95" s="225"/>
      <c r="D95" s="15"/>
      <c r="E95" s="95"/>
      <c r="F95" s="230"/>
      <c r="G95" s="228"/>
      <c r="H95" s="229"/>
      <c r="I95" s="228"/>
    </row>
    <row r="96" spans="1:9" x14ac:dyDescent="0.35">
      <c r="A96" s="225"/>
      <c r="B96" s="225"/>
      <c r="C96" s="225"/>
      <c r="D96" s="15"/>
      <c r="E96" s="95"/>
      <c r="F96" s="230"/>
      <c r="G96" s="228"/>
      <c r="H96" s="229"/>
      <c r="I96" s="228"/>
    </row>
    <row r="97" spans="1:9" x14ac:dyDescent="0.35">
      <c r="A97" s="252"/>
      <c r="B97" s="253"/>
      <c r="C97" s="252" t="s">
        <v>180</v>
      </c>
      <c r="D97" s="253"/>
      <c r="E97" s="253"/>
      <c r="F97" s="253"/>
      <c r="G97" s="253"/>
      <c r="H97" s="253"/>
      <c r="I97" s="254"/>
    </row>
    <row r="98" spans="1:9" x14ac:dyDescent="0.35">
      <c r="A98" s="225"/>
      <c r="B98" s="225"/>
      <c r="C98" s="225"/>
      <c r="D98" s="15"/>
      <c r="E98" s="96"/>
      <c r="F98" s="230"/>
      <c r="G98" s="228"/>
      <c r="H98" s="229"/>
      <c r="I98" s="228"/>
    </row>
    <row r="99" spans="1:9" x14ac:dyDescent="0.35">
      <c r="A99" s="225"/>
      <c r="B99" s="225"/>
      <c r="C99" s="225"/>
      <c r="D99" s="15"/>
      <c r="E99" s="96"/>
      <c r="F99" s="230"/>
      <c r="G99" s="228"/>
      <c r="H99" s="229"/>
      <c r="I99" s="228"/>
    </row>
    <row r="100" spans="1:9" x14ac:dyDescent="0.35">
      <c r="A100" s="225"/>
      <c r="B100" s="225"/>
      <c r="C100" s="225"/>
      <c r="D100" s="15"/>
      <c r="E100" s="96"/>
      <c r="F100" s="230"/>
      <c r="G100" s="228"/>
      <c r="H100" s="229"/>
      <c r="I100" s="228"/>
    </row>
    <row r="101" spans="1:9" x14ac:dyDescent="0.35">
      <c r="A101" s="225"/>
      <c r="B101" s="225"/>
      <c r="C101" s="225"/>
      <c r="D101" s="15"/>
      <c r="E101" s="95"/>
      <c r="F101" s="230"/>
      <c r="G101" s="228"/>
      <c r="H101" s="229"/>
      <c r="I101" s="228"/>
    </row>
    <row r="102" spans="1:9" x14ac:dyDescent="0.35">
      <c r="A102" s="225"/>
      <c r="B102" s="225"/>
      <c r="C102" s="225"/>
      <c r="D102" s="15"/>
      <c r="E102" s="95"/>
      <c r="F102" s="230"/>
      <c r="G102" s="228"/>
      <c r="H102" s="229"/>
      <c r="I102" s="228"/>
    </row>
    <row r="103" spans="1:9" x14ac:dyDescent="0.35">
      <c r="A103" s="252"/>
      <c r="B103" s="253"/>
      <c r="C103" s="252" t="s">
        <v>181</v>
      </c>
      <c r="D103" s="253"/>
      <c r="E103" s="253"/>
      <c r="F103" s="253"/>
      <c r="G103" s="253"/>
      <c r="H103" s="253"/>
      <c r="I103" s="254"/>
    </row>
    <row r="104" spans="1:9" x14ac:dyDescent="0.35">
      <c r="A104" s="225"/>
      <c r="B104" s="225"/>
      <c r="C104" s="225"/>
      <c r="D104" s="15"/>
      <c r="E104" s="96"/>
      <c r="F104" s="230"/>
      <c r="G104" s="228"/>
      <c r="H104" s="229"/>
      <c r="I104" s="228"/>
    </row>
    <row r="105" spans="1:9" x14ac:dyDescent="0.35">
      <c r="A105" s="225"/>
      <c r="B105" s="225"/>
      <c r="C105" s="225"/>
      <c r="D105" s="15"/>
      <c r="E105" s="95"/>
      <c r="F105" s="230"/>
      <c r="G105" s="228"/>
      <c r="H105" s="229"/>
      <c r="I105" s="228"/>
    </row>
    <row r="106" spans="1:9" x14ac:dyDescent="0.35">
      <c r="A106" s="225"/>
      <c r="B106" s="225"/>
      <c r="C106" s="225"/>
      <c r="D106" s="15"/>
      <c r="E106" s="95"/>
      <c r="F106" s="230"/>
      <c r="G106" s="228"/>
      <c r="H106" s="229"/>
      <c r="I106" s="228"/>
    </row>
    <row r="107" spans="1:9" x14ac:dyDescent="0.35">
      <c r="A107" s="225"/>
      <c r="B107" s="225"/>
      <c r="C107" s="225"/>
      <c r="D107" s="15"/>
      <c r="E107" s="96"/>
      <c r="F107" s="230"/>
      <c r="G107" s="228"/>
      <c r="H107" s="229"/>
      <c r="I107" s="228"/>
    </row>
    <row r="108" spans="1:9" x14ac:dyDescent="0.35">
      <c r="A108" s="225"/>
      <c r="B108" s="225"/>
      <c r="C108" s="225"/>
      <c r="D108" s="15"/>
      <c r="E108" s="96"/>
      <c r="F108" s="230"/>
      <c r="G108" s="228"/>
      <c r="H108" s="229"/>
      <c r="I108" s="228"/>
    </row>
    <row r="109" spans="1:9" x14ac:dyDescent="0.35">
      <c r="A109" s="252"/>
      <c r="B109" s="253"/>
      <c r="C109" s="252" t="s">
        <v>182</v>
      </c>
      <c r="D109" s="253"/>
      <c r="E109" s="253"/>
      <c r="F109" s="253"/>
      <c r="G109" s="253"/>
      <c r="H109" s="253"/>
      <c r="I109" s="254"/>
    </row>
    <row r="110" spans="1:9" x14ac:dyDescent="0.35">
      <c r="A110" s="225"/>
      <c r="B110" s="225"/>
      <c r="C110" s="225"/>
      <c r="D110" s="15"/>
      <c r="E110" s="95"/>
      <c r="F110" s="230"/>
      <c r="G110" s="228"/>
      <c r="H110" s="229"/>
      <c r="I110" s="228"/>
    </row>
    <row r="111" spans="1:9" x14ac:dyDescent="0.35">
      <c r="A111" s="225"/>
      <c r="B111" s="225"/>
      <c r="C111" s="225"/>
      <c r="D111" s="15"/>
      <c r="E111" s="95"/>
      <c r="F111" s="230"/>
      <c r="G111" s="228"/>
      <c r="H111" s="229"/>
      <c r="I111" s="228"/>
    </row>
    <row r="112" spans="1:9" x14ac:dyDescent="0.35">
      <c r="A112" s="225"/>
      <c r="B112" s="225"/>
      <c r="C112" s="225"/>
      <c r="D112" s="15"/>
      <c r="E112" s="95"/>
      <c r="F112" s="230"/>
      <c r="G112" s="228"/>
      <c r="H112" s="229"/>
      <c r="I112" s="228"/>
    </row>
    <row r="113" spans="1:9" x14ac:dyDescent="0.35">
      <c r="A113" s="225"/>
      <c r="B113" s="225"/>
      <c r="C113" s="225"/>
      <c r="D113" s="15"/>
      <c r="E113" s="95"/>
      <c r="F113" s="230"/>
      <c r="G113" s="228"/>
      <c r="H113" s="229"/>
      <c r="I113" s="228"/>
    </row>
    <row r="114" spans="1:9" x14ac:dyDescent="0.35">
      <c r="A114" s="252"/>
      <c r="B114" s="253"/>
      <c r="C114" s="252" t="s">
        <v>183</v>
      </c>
      <c r="D114" s="253"/>
      <c r="E114" s="253"/>
      <c r="F114" s="253"/>
      <c r="G114" s="253"/>
      <c r="H114" s="253"/>
      <c r="I114" s="254"/>
    </row>
    <row r="115" spans="1:9" x14ac:dyDescent="0.35">
      <c r="A115" s="225"/>
      <c r="B115" s="225"/>
      <c r="C115" s="225"/>
      <c r="D115" s="15"/>
      <c r="E115" s="96"/>
      <c r="F115" s="230"/>
      <c r="G115" s="228"/>
      <c r="H115" s="229"/>
      <c r="I115" s="228"/>
    </row>
    <row r="116" spans="1:9" x14ac:dyDescent="0.35">
      <c r="A116" s="225"/>
      <c r="B116" s="225"/>
      <c r="C116" s="225"/>
      <c r="D116" s="15"/>
      <c r="E116" s="96"/>
      <c r="F116" s="230"/>
      <c r="G116" s="228"/>
      <c r="H116" s="229"/>
      <c r="I116" s="228"/>
    </row>
    <row r="117" spans="1:9" x14ac:dyDescent="0.35">
      <c r="A117" s="225"/>
      <c r="B117" s="225"/>
      <c r="C117" s="225"/>
      <c r="D117" s="15"/>
      <c r="E117" s="96"/>
      <c r="F117" s="230"/>
      <c r="G117" s="228"/>
      <c r="H117" s="229"/>
      <c r="I117" s="228"/>
    </row>
    <row r="118" spans="1:9" x14ac:dyDescent="0.35">
      <c r="A118" s="225"/>
      <c r="B118" s="225"/>
      <c r="C118" s="225"/>
      <c r="D118" s="15"/>
      <c r="E118" s="95"/>
      <c r="F118" s="230"/>
      <c r="G118" s="228"/>
      <c r="H118" s="229"/>
      <c r="I118" s="228"/>
    </row>
    <row r="119" spans="1:9" x14ac:dyDescent="0.35">
      <c r="A119" s="252"/>
      <c r="B119" s="253"/>
      <c r="C119" s="252" t="s">
        <v>184</v>
      </c>
      <c r="D119" s="253"/>
      <c r="E119" s="253"/>
      <c r="F119" s="253"/>
      <c r="G119" s="253"/>
      <c r="H119" s="253"/>
      <c r="I119" s="254"/>
    </row>
    <row r="120" spans="1:9" x14ac:dyDescent="0.35">
      <c r="A120" s="225"/>
      <c r="B120" s="225"/>
      <c r="C120" s="225"/>
      <c r="D120" s="15"/>
      <c r="E120" s="96"/>
      <c r="F120" s="230"/>
      <c r="G120" s="228"/>
      <c r="H120" s="229"/>
      <c r="I120" s="228"/>
    </row>
    <row r="121" spans="1:9" x14ac:dyDescent="0.35">
      <c r="A121" s="225"/>
      <c r="B121" s="225"/>
      <c r="C121" s="225"/>
      <c r="D121" s="15"/>
      <c r="E121" s="96"/>
      <c r="F121" s="230"/>
      <c r="G121" s="228"/>
      <c r="H121" s="229"/>
      <c r="I121" s="228"/>
    </row>
    <row r="122" spans="1:9" x14ac:dyDescent="0.35">
      <c r="A122" s="225"/>
      <c r="B122" s="225"/>
      <c r="C122" s="225"/>
      <c r="D122" s="15"/>
      <c r="E122" s="96"/>
      <c r="F122" s="230"/>
      <c r="G122" s="228"/>
      <c r="H122" s="229"/>
      <c r="I122" s="228"/>
    </row>
    <row r="123" spans="1:9" x14ac:dyDescent="0.35">
      <c r="A123" s="252"/>
      <c r="B123" s="253"/>
      <c r="C123" s="252" t="s">
        <v>185</v>
      </c>
      <c r="D123" s="253"/>
      <c r="E123" s="253"/>
      <c r="F123" s="253"/>
      <c r="G123" s="253"/>
      <c r="H123" s="253"/>
      <c r="I123" s="254"/>
    </row>
    <row r="124" spans="1:9" x14ac:dyDescent="0.35">
      <c r="A124" s="225"/>
      <c r="B124" s="225"/>
      <c r="C124" s="225"/>
      <c r="D124" s="15"/>
      <c r="E124" s="96"/>
      <c r="F124" s="230"/>
      <c r="G124" s="228"/>
      <c r="H124" s="229"/>
      <c r="I124" s="228"/>
    </row>
    <row r="125" spans="1:9" x14ac:dyDescent="0.35">
      <c r="A125" s="225"/>
      <c r="B125" s="225"/>
      <c r="C125" s="225"/>
      <c r="D125" s="15"/>
      <c r="E125" s="96"/>
      <c r="F125" s="230"/>
      <c r="G125" s="228"/>
      <c r="H125" s="229"/>
      <c r="I125" s="228"/>
    </row>
    <row r="126" spans="1:9" x14ac:dyDescent="0.35">
      <c r="A126" s="225"/>
      <c r="B126" s="225"/>
      <c r="C126" s="225"/>
      <c r="D126" s="15"/>
      <c r="E126" s="96"/>
      <c r="F126" s="230"/>
      <c r="G126" s="228"/>
      <c r="H126" s="229"/>
      <c r="I126" s="228"/>
    </row>
    <row r="127" spans="1:9" x14ac:dyDescent="0.35">
      <c r="A127" s="225"/>
      <c r="B127" s="225"/>
      <c r="C127" s="225"/>
      <c r="D127" s="15"/>
      <c r="E127" s="96"/>
      <c r="F127" s="230"/>
      <c r="G127" s="228"/>
      <c r="H127" s="229"/>
      <c r="I127" s="228"/>
    </row>
    <row r="128" spans="1:9" x14ac:dyDescent="0.35">
      <c r="A128" s="225"/>
      <c r="B128" s="225"/>
      <c r="C128" s="225"/>
      <c r="D128" s="15"/>
      <c r="E128" s="96"/>
      <c r="F128" s="230"/>
      <c r="G128" s="228"/>
      <c r="H128" s="229"/>
      <c r="I128" s="228"/>
    </row>
    <row r="129" spans="1:9" x14ac:dyDescent="0.35">
      <c r="A129" s="252"/>
      <c r="B129" s="253"/>
      <c r="C129" s="252" t="s">
        <v>186</v>
      </c>
      <c r="D129" s="253"/>
      <c r="E129" s="253"/>
      <c r="F129" s="253"/>
      <c r="G129" s="253"/>
      <c r="H129" s="253"/>
      <c r="I129" s="254"/>
    </row>
    <row r="130" spans="1:9" x14ac:dyDescent="0.35">
      <c r="A130" s="225"/>
      <c r="B130" s="225"/>
      <c r="C130" s="225"/>
      <c r="D130" s="15"/>
      <c r="E130" s="96"/>
      <c r="F130" s="230"/>
      <c r="G130" s="228"/>
      <c r="H130" s="229"/>
      <c r="I130" s="228"/>
    </row>
    <row r="131" spans="1:9" x14ac:dyDescent="0.35">
      <c r="A131" s="225"/>
      <c r="B131" s="225"/>
      <c r="C131" s="225"/>
      <c r="D131" s="15"/>
      <c r="E131" s="96"/>
      <c r="F131" s="230"/>
      <c r="G131" s="228"/>
      <c r="H131" s="229"/>
      <c r="I131" s="228"/>
    </row>
    <row r="132" spans="1:9" x14ac:dyDescent="0.35">
      <c r="A132" s="225"/>
      <c r="B132" s="225"/>
      <c r="C132" s="225"/>
      <c r="D132" s="15"/>
      <c r="E132" s="96"/>
      <c r="F132" s="230"/>
      <c r="G132" s="228"/>
      <c r="H132" s="229"/>
      <c r="I132" s="228"/>
    </row>
    <row r="133" spans="1:9" x14ac:dyDescent="0.35">
      <c r="A133" s="225"/>
      <c r="B133" s="225"/>
      <c r="C133" s="225"/>
      <c r="D133" s="15"/>
      <c r="E133" s="96"/>
      <c r="F133" s="230"/>
      <c r="G133" s="228"/>
      <c r="H133" s="229"/>
      <c r="I133" s="228"/>
    </row>
    <row r="134" spans="1:9" x14ac:dyDescent="0.35">
      <c r="A134" s="225"/>
      <c r="B134" s="225"/>
      <c r="C134" s="225"/>
      <c r="D134" s="15"/>
      <c r="E134" s="96"/>
      <c r="F134" s="230"/>
      <c r="G134" s="228"/>
      <c r="H134" s="229"/>
      <c r="I134" s="228"/>
    </row>
  </sheetData>
  <sheetProtection insertRows="0" selectLockedCells="1"/>
  <mergeCells count="1">
    <mergeCell ref="A1:I1"/>
  </mergeCells>
  <phoneticPr fontId="0" type="noConversion"/>
  <pageMargins left="0.5" right="0.5" top="0.75" bottom="0.75" header="0.5" footer="0.5"/>
  <pageSetup scale="83" orientation="landscape" r:id="rId1"/>
  <headerFooter alignWithMargins="0">
    <oddFooter>&amp;RLast modified on &amp;D, &amp;T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5"/>
  <sheetViews>
    <sheetView showGridLines="0" tabSelected="1" zoomScale="56" zoomScaleNormal="70" zoomScaleSheetLayoutView="75" workbookViewId="0">
      <selection activeCell="E24" sqref="E24"/>
    </sheetView>
  </sheetViews>
  <sheetFormatPr defaultColWidth="0" defaultRowHeight="12.45" zeroHeight="1" x14ac:dyDescent="0.3"/>
  <cols>
    <col min="1" max="1" width="14" style="26" customWidth="1"/>
    <col min="2" max="2" width="22.84375" style="26" customWidth="1"/>
    <col min="3" max="3" width="26.84375" style="26" customWidth="1"/>
    <col min="4" max="4" width="15.84375" style="34" customWidth="1"/>
    <col min="5" max="5" width="15.84375" style="32" customWidth="1"/>
    <col min="6" max="7" width="15.84375" style="34" customWidth="1"/>
    <col min="8" max="8" width="16.15234375" style="32" customWidth="1"/>
    <col min="9" max="9" width="33.15234375" style="32" customWidth="1"/>
    <col min="10" max="10" width="57" style="97" hidden="1" customWidth="1"/>
    <col min="11" max="11" width="0" style="26" hidden="1" customWidth="1"/>
    <col min="12" max="16384" width="9.15234375" style="26" hidden="1"/>
  </cols>
  <sheetData>
    <row r="1" spans="1:11" ht="30" customHeight="1" x14ac:dyDescent="0.4">
      <c r="A1" s="363" t="s">
        <v>197</v>
      </c>
      <c r="B1" s="363"/>
      <c r="C1" s="363"/>
      <c r="D1" s="363"/>
      <c r="E1" s="363"/>
      <c r="F1" s="363"/>
      <c r="G1" s="363"/>
      <c r="H1" s="363"/>
      <c r="I1" s="363"/>
    </row>
    <row r="2" spans="1:11" ht="12.75" customHeight="1" x14ac:dyDescent="0.3">
      <c r="A2" s="27"/>
      <c r="B2" s="27"/>
      <c r="C2" s="27"/>
      <c r="D2" s="28"/>
      <c r="E2" s="29"/>
      <c r="F2" s="28"/>
      <c r="G2" s="30"/>
      <c r="H2" s="29"/>
      <c r="I2" s="29"/>
      <c r="K2" s="25"/>
    </row>
    <row r="3" spans="1:11" x14ac:dyDescent="0.3">
      <c r="D3" s="31"/>
      <c r="F3" s="33"/>
      <c r="G3" s="35"/>
      <c r="H3" s="26"/>
      <c r="I3" s="36"/>
      <c r="K3" s="25"/>
    </row>
    <row r="4" spans="1:11" ht="18" customHeight="1" x14ac:dyDescent="0.4">
      <c r="A4" s="196" t="s">
        <v>135</v>
      </c>
      <c r="B4" s="197"/>
      <c r="C4" s="197"/>
      <c r="D4" s="197"/>
      <c r="E4" s="188"/>
      <c r="F4" s="375" t="s">
        <v>14</v>
      </c>
      <c r="G4" s="376"/>
      <c r="H4" s="377">
        <f>'Schedule A Personnel'!B3</f>
        <v>0</v>
      </c>
      <c r="I4" s="378"/>
      <c r="J4" s="25"/>
    </row>
    <row r="5" spans="1:11" ht="18" customHeight="1" x14ac:dyDescent="0.4">
      <c r="A5" s="196" t="s">
        <v>134</v>
      </c>
      <c r="B5" s="197"/>
      <c r="C5" s="197"/>
      <c r="D5" s="197"/>
      <c r="E5" s="188"/>
      <c r="F5" s="375" t="s">
        <v>15</v>
      </c>
      <c r="G5" s="376"/>
      <c r="H5" s="377">
        <f>'Schedule A Personnel'!F3</f>
        <v>0</v>
      </c>
      <c r="I5" s="378"/>
      <c r="J5" s="25"/>
    </row>
    <row r="6" spans="1:11" ht="18" customHeight="1" x14ac:dyDescent="0.4">
      <c r="A6" s="196" t="s">
        <v>145</v>
      </c>
      <c r="B6" s="197"/>
      <c r="C6" s="197"/>
      <c r="D6" s="197"/>
      <c r="E6" s="188">
        <v>0</v>
      </c>
      <c r="F6" s="375" t="s">
        <v>16</v>
      </c>
      <c r="G6" s="376"/>
      <c r="H6" s="374"/>
      <c r="I6" s="374"/>
      <c r="J6" s="25"/>
    </row>
    <row r="7" spans="1:11" ht="18" customHeight="1" x14ac:dyDescent="0.4">
      <c r="A7" s="196" t="s">
        <v>112</v>
      </c>
      <c r="B7" s="197"/>
      <c r="C7" s="197"/>
      <c r="D7" s="197"/>
      <c r="E7" s="188"/>
      <c r="F7" s="375" t="s">
        <v>17</v>
      </c>
      <c r="G7" s="376"/>
      <c r="H7" s="374"/>
      <c r="I7" s="374"/>
      <c r="J7" s="25"/>
    </row>
    <row r="8" spans="1:11" ht="18" customHeight="1" x14ac:dyDescent="0.4">
      <c r="A8" s="196" t="s">
        <v>113</v>
      </c>
      <c r="B8" s="197"/>
      <c r="C8" s="197"/>
      <c r="D8" s="197"/>
      <c r="E8" s="188"/>
      <c r="F8" s="380" t="s">
        <v>18</v>
      </c>
      <c r="G8" s="381"/>
      <c r="H8" s="374"/>
      <c r="I8" s="374"/>
      <c r="J8" s="25"/>
    </row>
    <row r="9" spans="1:11" ht="18" customHeight="1" x14ac:dyDescent="0.4">
      <c r="D9" s="31"/>
      <c r="F9" s="379" t="s">
        <v>137</v>
      </c>
      <c r="G9" s="376"/>
      <c r="H9" s="374"/>
      <c r="I9" s="374"/>
      <c r="J9" s="25"/>
    </row>
    <row r="10" spans="1:11" ht="10" customHeight="1" x14ac:dyDescent="0.3">
      <c r="D10" s="31"/>
      <c r="F10" s="98"/>
      <c r="G10" s="98"/>
      <c r="H10" s="98"/>
      <c r="I10" s="97"/>
      <c r="J10" s="25"/>
    </row>
    <row r="11" spans="1:11" ht="18" customHeight="1" x14ac:dyDescent="0.4">
      <c r="A11" s="196" t="s">
        <v>19</v>
      </c>
      <c r="B11" s="197"/>
      <c r="C11" s="197"/>
      <c r="D11" s="197"/>
      <c r="E11" s="188"/>
      <c r="G11" s="32"/>
      <c r="I11" s="97"/>
      <c r="J11" s="25"/>
    </row>
    <row r="12" spans="1:11" ht="18" customHeight="1" x14ac:dyDescent="0.4">
      <c r="A12" s="196" t="s">
        <v>117</v>
      </c>
      <c r="B12" s="197"/>
      <c r="C12" s="197"/>
      <c r="D12" s="197"/>
      <c r="E12" s="189">
        <f>E11/245</f>
        <v>0</v>
      </c>
      <c r="F12" s="98"/>
      <c r="G12" s="98"/>
      <c r="H12" s="98"/>
      <c r="I12" s="97"/>
      <c r="J12" s="25"/>
    </row>
    <row r="13" spans="1:11" x14ac:dyDescent="0.3">
      <c r="D13" s="31"/>
      <c r="F13" s="33"/>
      <c r="G13" s="35"/>
      <c r="H13" s="26"/>
      <c r="I13" s="36"/>
      <c r="K13" s="25"/>
    </row>
    <row r="14" spans="1:11" x14ac:dyDescent="0.3">
      <c r="D14" s="31"/>
      <c r="F14" s="33"/>
      <c r="G14" s="35"/>
      <c r="H14" s="26"/>
      <c r="I14" s="36"/>
      <c r="K14" s="25"/>
    </row>
    <row r="15" spans="1:11" ht="56.5" customHeight="1" x14ac:dyDescent="0.3">
      <c r="A15" s="367" t="s">
        <v>71</v>
      </c>
      <c r="B15" s="368"/>
      <c r="C15" s="369"/>
      <c r="D15" s="99" t="s">
        <v>72</v>
      </c>
      <c r="E15" s="100" t="s">
        <v>73</v>
      </c>
      <c r="F15" s="195" t="s">
        <v>121</v>
      </c>
      <c r="G15" s="191"/>
      <c r="H15" s="370" t="s">
        <v>74</v>
      </c>
      <c r="I15" s="371"/>
      <c r="K15" s="25"/>
    </row>
    <row r="16" spans="1:11" x14ac:dyDescent="0.3">
      <c r="A16" s="102"/>
      <c r="B16" s="103"/>
      <c r="C16" s="103"/>
      <c r="D16" s="104"/>
      <c r="E16" s="105"/>
      <c r="F16" s="106"/>
      <c r="G16" s="106"/>
      <c r="H16" s="103"/>
      <c r="I16" s="107"/>
      <c r="K16" s="25"/>
    </row>
    <row r="17" spans="1:11" ht="17.600000000000001" x14ac:dyDescent="0.4">
      <c r="A17" s="142" t="s">
        <v>124</v>
      </c>
      <c r="B17" s="108"/>
      <c r="C17" s="108"/>
      <c r="D17" s="109"/>
      <c r="E17" s="110"/>
      <c r="F17" s="111"/>
      <c r="G17" s="111"/>
      <c r="H17" s="108"/>
      <c r="I17" s="112"/>
      <c r="K17" s="25"/>
    </row>
    <row r="18" spans="1:11" ht="17.600000000000001" x14ac:dyDescent="0.4">
      <c r="A18" s="94" t="s">
        <v>116</v>
      </c>
      <c r="B18" s="113"/>
      <c r="C18" s="114"/>
      <c r="D18" s="203">
        <f>E4</f>
        <v>0</v>
      </c>
      <c r="E18" s="115"/>
      <c r="F18" s="186" t="e">
        <f>E5/(E5+E6)</f>
        <v>#DIV/0!</v>
      </c>
      <c r="G18" s="207"/>
      <c r="H18" s="365" t="e">
        <f>+D18*E18*F18</f>
        <v>#DIV/0!</v>
      </c>
      <c r="I18" s="366"/>
      <c r="K18" s="25"/>
    </row>
    <row r="19" spans="1:11" ht="17.600000000000001" x14ac:dyDescent="0.4">
      <c r="A19" s="94"/>
      <c r="B19" s="113"/>
      <c r="C19" s="113"/>
      <c r="D19" s="198"/>
      <c r="E19" s="117"/>
      <c r="F19" s="118"/>
      <c r="G19" s="193"/>
      <c r="H19" s="159"/>
      <c r="I19" s="156"/>
      <c r="K19" s="121"/>
    </row>
    <row r="20" spans="1:11" ht="17.600000000000001" x14ac:dyDescent="0.4">
      <c r="A20" s="94" t="s">
        <v>75</v>
      </c>
      <c r="B20" s="113"/>
      <c r="C20" s="114"/>
      <c r="D20" s="199">
        <f>E4</f>
        <v>0</v>
      </c>
      <c r="E20" s="115"/>
      <c r="F20" s="186" t="e">
        <f>E5/(E5+E6)</f>
        <v>#DIV/0!</v>
      </c>
      <c r="G20" s="207"/>
      <c r="H20" s="365" t="e">
        <f>+D20*E20*F20</f>
        <v>#DIV/0!</v>
      </c>
      <c r="I20" s="366"/>
      <c r="K20" s="25"/>
    </row>
    <row r="21" spans="1:11" ht="17.600000000000001" x14ac:dyDescent="0.4">
      <c r="A21" s="122" t="s">
        <v>76</v>
      </c>
      <c r="B21" s="123"/>
      <c r="C21" s="124"/>
      <c r="D21" s="129"/>
      <c r="E21" s="125"/>
      <c r="F21" s="186" t="e">
        <f>E5/(E5+E6)</f>
        <v>#DIV/0!</v>
      </c>
      <c r="G21" s="207"/>
      <c r="H21" s="365" t="e">
        <f>+D21*E21*F21</f>
        <v>#DIV/0!</v>
      </c>
      <c r="I21" s="366"/>
      <c r="K21" s="25"/>
    </row>
    <row r="22" spans="1:11" ht="17.600000000000001" x14ac:dyDescent="0.4">
      <c r="A22" s="94"/>
      <c r="B22" s="113"/>
      <c r="C22" s="113"/>
      <c r="D22" s="113"/>
      <c r="E22" s="113"/>
      <c r="F22" s="113"/>
      <c r="G22" s="113"/>
      <c r="H22" s="113"/>
      <c r="I22" s="114"/>
      <c r="K22" s="25"/>
    </row>
    <row r="23" spans="1:11" ht="17.600000000000001" x14ac:dyDescent="0.4">
      <c r="A23" s="126" t="s">
        <v>118</v>
      </c>
      <c r="B23" s="127"/>
      <c r="C23" s="128"/>
      <c r="D23" s="129"/>
      <c r="E23" s="130"/>
      <c r="F23" s="186" t="e">
        <f>E5/(E5+E6)</f>
        <v>#DIV/0!</v>
      </c>
      <c r="G23" s="207"/>
      <c r="H23" s="365" t="e">
        <f>+D23*E23*F23</f>
        <v>#DIV/0!</v>
      </c>
      <c r="I23" s="366"/>
      <c r="K23" s="25"/>
    </row>
    <row r="24" spans="1:11" ht="17.600000000000001" x14ac:dyDescent="0.4">
      <c r="A24" s="94"/>
      <c r="B24" s="113"/>
      <c r="C24" s="113"/>
      <c r="D24" s="116"/>
      <c r="E24" s="117"/>
      <c r="F24" s="131"/>
      <c r="G24" s="192"/>
      <c r="H24" s="159"/>
      <c r="I24" s="156"/>
      <c r="K24" s="25"/>
    </row>
    <row r="25" spans="1:11" ht="17.600000000000001" x14ac:dyDescent="0.4">
      <c r="A25" s="94" t="s">
        <v>119</v>
      </c>
      <c r="B25" s="113"/>
      <c r="C25" s="114"/>
      <c r="D25" s="182">
        <f>D18</f>
        <v>0</v>
      </c>
      <c r="E25" s="115"/>
      <c r="F25" s="186" t="e">
        <f>E5/(E5+E6)</f>
        <v>#DIV/0!</v>
      </c>
      <c r="G25" s="207"/>
      <c r="H25" s="365" t="e">
        <f>+D25*E25*F25</f>
        <v>#DIV/0!</v>
      </c>
      <c r="I25" s="366"/>
      <c r="K25" s="25"/>
    </row>
    <row r="26" spans="1:11" ht="17.600000000000001" x14ac:dyDescent="0.4">
      <c r="A26" s="94" t="s">
        <v>120</v>
      </c>
      <c r="B26" s="113"/>
      <c r="C26" s="114"/>
      <c r="D26" s="182">
        <f>D20+D21</f>
        <v>0</v>
      </c>
      <c r="E26" s="115"/>
      <c r="F26" s="186" t="e">
        <f>E5/(E5+E6)</f>
        <v>#DIV/0!</v>
      </c>
      <c r="G26" s="207"/>
      <c r="H26" s="365" t="e">
        <f>+D26*E26*F26</f>
        <v>#DIV/0!</v>
      </c>
      <c r="I26" s="366"/>
      <c r="K26" s="25"/>
    </row>
    <row r="27" spans="1:11" ht="17.600000000000001" x14ac:dyDescent="0.4">
      <c r="A27" s="94"/>
      <c r="B27" s="113"/>
      <c r="C27" s="113"/>
      <c r="D27" s="116"/>
      <c r="E27" s="117"/>
      <c r="F27" s="116"/>
      <c r="G27" s="194"/>
      <c r="H27" s="159"/>
      <c r="I27" s="156"/>
      <c r="K27" s="25"/>
    </row>
    <row r="28" spans="1:11" ht="17.600000000000001" x14ac:dyDescent="0.4">
      <c r="A28" s="94" t="s">
        <v>77</v>
      </c>
      <c r="B28" s="113"/>
      <c r="C28" s="114"/>
      <c r="D28" s="183">
        <f>E4</f>
        <v>0</v>
      </c>
      <c r="E28" s="206"/>
      <c r="F28" s="186" t="e">
        <f>E5/(E5+E6)</f>
        <v>#DIV/0!</v>
      </c>
      <c r="G28" s="207"/>
      <c r="H28" s="365" t="e">
        <f>+D28*E28*F28</f>
        <v>#DIV/0!</v>
      </c>
      <c r="I28" s="366"/>
      <c r="K28" s="25"/>
    </row>
    <row r="29" spans="1:11" ht="17.600000000000001" x14ac:dyDescent="0.4">
      <c r="A29" s="94" t="s">
        <v>78</v>
      </c>
      <c r="B29" s="113"/>
      <c r="C29" s="114"/>
      <c r="D29" s="183">
        <f>E4</f>
        <v>0</v>
      </c>
      <c r="E29" s="206"/>
      <c r="F29" s="186" t="e">
        <f>E5/(E5+E6)</f>
        <v>#DIV/0!</v>
      </c>
      <c r="G29" s="207"/>
      <c r="H29" s="365" t="e">
        <f>+D29*E29*F29</f>
        <v>#DIV/0!</v>
      </c>
      <c r="I29" s="366"/>
      <c r="J29" s="132"/>
      <c r="K29" s="25"/>
    </row>
    <row r="30" spans="1:11" ht="17.600000000000001" x14ac:dyDescent="0.4">
      <c r="A30" s="94" t="s">
        <v>79</v>
      </c>
      <c r="B30" s="113"/>
      <c r="C30" s="114"/>
      <c r="D30" s="183">
        <f>E5</f>
        <v>0</v>
      </c>
      <c r="E30" s="206"/>
      <c r="F30" s="186">
        <v>1</v>
      </c>
      <c r="G30" s="207"/>
      <c r="H30" s="365">
        <f>+D30*E30*F30</f>
        <v>0</v>
      </c>
      <c r="I30" s="366"/>
      <c r="K30" s="25"/>
    </row>
    <row r="31" spans="1:11" ht="17.600000000000001" x14ac:dyDescent="0.4">
      <c r="A31" s="94"/>
      <c r="B31" s="113"/>
      <c r="C31" s="113"/>
      <c r="D31" s="116"/>
      <c r="E31" s="117"/>
      <c r="F31" s="131"/>
      <c r="G31" s="192"/>
      <c r="H31" s="119"/>
      <c r="I31" s="120"/>
      <c r="K31" s="25"/>
    </row>
    <row r="32" spans="1:11" ht="17.600000000000001" x14ac:dyDescent="0.4">
      <c r="A32" s="94" t="s">
        <v>80</v>
      </c>
      <c r="B32" s="113"/>
      <c r="C32" s="114"/>
      <c r="D32" s="183">
        <f>E5/45</f>
        <v>0</v>
      </c>
      <c r="E32" s="115"/>
      <c r="F32" s="215">
        <f>200/245</f>
        <v>0.81632653061224492</v>
      </c>
      <c r="G32" s="207"/>
      <c r="H32" s="365">
        <f>+D32*E32*F32</f>
        <v>0</v>
      </c>
      <c r="I32" s="366"/>
    </row>
    <row r="33" spans="1:9" ht="17.600000000000001" x14ac:dyDescent="0.4">
      <c r="A33" s="94" t="s">
        <v>89</v>
      </c>
      <c r="B33" s="113"/>
      <c r="C33" s="113"/>
      <c r="D33" s="129"/>
      <c r="E33" s="115"/>
      <c r="F33" s="215">
        <f>200/245</f>
        <v>0.81632653061224492</v>
      </c>
      <c r="G33" s="207"/>
      <c r="H33" s="365">
        <f>+D33*E33*F33</f>
        <v>0</v>
      </c>
      <c r="I33" s="366"/>
    </row>
    <row r="34" spans="1:9" ht="17.600000000000001" x14ac:dyDescent="0.4">
      <c r="A34" s="94"/>
      <c r="B34" s="113"/>
      <c r="C34" s="113"/>
      <c r="D34" s="116"/>
      <c r="E34" s="117"/>
      <c r="F34" s="131"/>
      <c r="G34" s="131"/>
      <c r="H34" s="119"/>
      <c r="I34" s="120"/>
    </row>
    <row r="35" spans="1:9" ht="37.299999999999997" x14ac:dyDescent="0.3">
      <c r="A35" s="367" t="s">
        <v>71</v>
      </c>
      <c r="B35" s="368"/>
      <c r="C35" s="369"/>
      <c r="D35" s="99" t="s">
        <v>72</v>
      </c>
      <c r="E35" s="100" t="s">
        <v>73</v>
      </c>
      <c r="F35" s="101" t="s">
        <v>123</v>
      </c>
      <c r="G35" s="101" t="s">
        <v>132</v>
      </c>
      <c r="H35" s="370" t="s">
        <v>74</v>
      </c>
      <c r="I35" s="371"/>
    </row>
    <row r="36" spans="1:9" ht="17.600000000000001" x14ac:dyDescent="0.4">
      <c r="A36" s="264" t="s">
        <v>81</v>
      </c>
      <c r="B36" s="265"/>
      <c r="C36" s="265"/>
      <c r="D36" s="265"/>
      <c r="E36" s="265"/>
      <c r="F36" s="265"/>
      <c r="G36" s="265"/>
      <c r="H36" s="265"/>
      <c r="I36" s="266"/>
    </row>
    <row r="37" spans="1:9" ht="17.600000000000001" x14ac:dyDescent="0.4">
      <c r="A37" s="94" t="s">
        <v>122</v>
      </c>
      <c r="B37" s="113"/>
      <c r="C37" s="114"/>
      <c r="D37" s="134"/>
      <c r="E37" s="204">
        <f>'CACFP Worksheet'!E44</f>
        <v>0</v>
      </c>
      <c r="F37" s="212">
        <v>1</v>
      </c>
      <c r="G37" s="207"/>
      <c r="H37" s="365">
        <f>E37*F37</f>
        <v>0</v>
      </c>
      <c r="I37" s="366"/>
    </row>
    <row r="38" spans="1:9" ht="17.600000000000001" x14ac:dyDescent="0.4">
      <c r="A38" s="94" t="s">
        <v>82</v>
      </c>
      <c r="B38" s="113"/>
      <c r="C38" s="114"/>
      <c r="D38" s="129"/>
      <c r="E38" s="115"/>
      <c r="F38" s="212">
        <f>E12</f>
        <v>0</v>
      </c>
      <c r="G38" s="186" t="e">
        <f>E5/(E5+E6+E8)</f>
        <v>#DIV/0!</v>
      </c>
      <c r="H38" s="365" t="e">
        <f>+D38*E38*F38*G38</f>
        <v>#DIV/0!</v>
      </c>
      <c r="I38" s="366"/>
    </row>
    <row r="39" spans="1:9" ht="17.600000000000001" x14ac:dyDescent="0.4">
      <c r="A39" s="94" t="s">
        <v>90</v>
      </c>
      <c r="B39" s="113"/>
      <c r="C39" s="114"/>
      <c r="D39" s="129"/>
      <c r="E39" s="115"/>
      <c r="F39" s="212">
        <f>E12</f>
        <v>0</v>
      </c>
      <c r="G39" s="186" t="e">
        <f>E5/(E5+E6+E8)</f>
        <v>#DIV/0!</v>
      </c>
      <c r="H39" s="365" t="e">
        <f>+D39*E39*F39*G39</f>
        <v>#DIV/0!</v>
      </c>
      <c r="I39" s="366"/>
    </row>
    <row r="40" spans="1:9" ht="17.600000000000001" x14ac:dyDescent="0.4">
      <c r="A40" s="122" t="s">
        <v>128</v>
      </c>
      <c r="B40" s="123"/>
      <c r="C40" s="124"/>
      <c r="D40" s="129"/>
      <c r="E40" s="115"/>
      <c r="F40" s="213">
        <f>E12</f>
        <v>0</v>
      </c>
      <c r="G40" s="186" t="e">
        <f>E5/(E5+E6+E8)</f>
        <v>#DIV/0!</v>
      </c>
      <c r="H40" s="365" t="e">
        <f>+D40*E40*F40*G40</f>
        <v>#DIV/0!</v>
      </c>
      <c r="I40" s="366"/>
    </row>
    <row r="41" spans="1:9" ht="17.600000000000001" x14ac:dyDescent="0.4">
      <c r="A41" s="122" t="s">
        <v>129</v>
      </c>
      <c r="B41" s="123"/>
      <c r="C41" s="124"/>
      <c r="D41" s="129"/>
      <c r="E41" s="115"/>
      <c r="F41" s="213">
        <f>E12</f>
        <v>0</v>
      </c>
      <c r="G41" s="186" t="e">
        <f>E5/(E5+E6+E8)</f>
        <v>#DIV/0!</v>
      </c>
      <c r="H41" s="365" t="e">
        <f>+D41*E41*F41*G41</f>
        <v>#DIV/0!</v>
      </c>
      <c r="I41" s="366"/>
    </row>
    <row r="42" spans="1:9" ht="17.600000000000001" x14ac:dyDescent="0.4">
      <c r="A42" s="94"/>
      <c r="B42" s="113"/>
      <c r="C42" s="113"/>
      <c r="D42" s="116"/>
      <c r="E42" s="117"/>
      <c r="F42" s="131"/>
      <c r="G42" s="131"/>
      <c r="H42" s="119"/>
      <c r="I42" s="120"/>
    </row>
    <row r="43" spans="1:9" ht="17.600000000000001" x14ac:dyDescent="0.4">
      <c r="A43" s="133" t="s">
        <v>109</v>
      </c>
      <c r="B43" s="113"/>
      <c r="C43" s="113"/>
      <c r="D43" s="135"/>
      <c r="E43" s="136"/>
      <c r="F43" s="137"/>
      <c r="G43" s="137"/>
      <c r="H43" s="119"/>
      <c r="I43" s="120"/>
    </row>
    <row r="44" spans="1:9" ht="17.600000000000001" x14ac:dyDescent="0.4">
      <c r="A44" s="94" t="s">
        <v>83</v>
      </c>
      <c r="B44" s="113"/>
      <c r="C44" s="113"/>
      <c r="D44" s="208"/>
      <c r="E44" s="208"/>
      <c r="F44" s="208"/>
      <c r="G44" s="208"/>
      <c r="H44" s="365" t="e">
        <f>(H18+H20+H21+H25+H26+H32+H38+H40)*0.062</f>
        <v>#DIV/0!</v>
      </c>
      <c r="I44" s="366"/>
    </row>
    <row r="45" spans="1:9" ht="17.600000000000001" x14ac:dyDescent="0.4">
      <c r="A45" s="94" t="s">
        <v>84</v>
      </c>
      <c r="B45" s="113"/>
      <c r="C45" s="113"/>
      <c r="D45" s="208"/>
      <c r="E45" s="208"/>
      <c r="F45" s="208"/>
      <c r="G45" s="208"/>
      <c r="H45" s="365" t="e">
        <f>(H18+H20+H21+H25+H26+H32+H38+H40)*0.0145</f>
        <v>#DIV/0!</v>
      </c>
      <c r="I45" s="366"/>
    </row>
    <row r="46" spans="1:9" ht="17.600000000000001" x14ac:dyDescent="0.4">
      <c r="A46" s="94" t="s">
        <v>85</v>
      </c>
      <c r="B46" s="113"/>
      <c r="C46" s="113"/>
      <c r="D46" s="208"/>
      <c r="E46" s="208"/>
      <c r="F46" s="208"/>
      <c r="G46" s="208"/>
      <c r="H46" s="365" t="e">
        <f>(H18+H20+H21+H25+H26+H32+H38+H40)*0.028</f>
        <v>#DIV/0!</v>
      </c>
      <c r="I46" s="366"/>
    </row>
    <row r="47" spans="1:9" ht="17.600000000000001" x14ac:dyDescent="0.4">
      <c r="A47" s="94" t="s">
        <v>86</v>
      </c>
      <c r="B47" s="113"/>
      <c r="C47" s="113"/>
      <c r="D47" s="208"/>
      <c r="E47" s="208"/>
      <c r="F47" s="208"/>
      <c r="G47" s="208"/>
      <c r="H47" s="365" t="e">
        <f>(H18+H20+H21+H25+H26+H32+H38+H40)*0.005</f>
        <v>#DIV/0!</v>
      </c>
      <c r="I47" s="366"/>
    </row>
    <row r="48" spans="1:9" ht="17.600000000000001" x14ac:dyDescent="0.4">
      <c r="A48" s="139"/>
      <c r="B48"/>
      <c r="C48"/>
      <c r="D48"/>
      <c r="E48"/>
      <c r="F48"/>
      <c r="G48"/>
      <c r="H48" s="140"/>
      <c r="I48" s="140"/>
    </row>
    <row r="49" spans="1:11" ht="17.600000000000001" x14ac:dyDescent="0.4">
      <c r="A49" s="133" t="s">
        <v>110</v>
      </c>
      <c r="B49" s="37"/>
      <c r="C49" s="37"/>
      <c r="D49" s="38"/>
      <c r="E49" s="39"/>
      <c r="F49" s="40"/>
      <c r="G49" s="141"/>
      <c r="H49" s="372" t="e">
        <f>H47+H46+H45+H44+H41+H40+H39+H38+H37+H33+H32+H30+H29+H28+H26+H25+H23+H21+H20+H18</f>
        <v>#DIV/0!</v>
      </c>
      <c r="I49" s="373"/>
    </row>
    <row r="50" spans="1:11" ht="37.299999999999997" x14ac:dyDescent="0.3">
      <c r="A50" s="248" t="s">
        <v>71</v>
      </c>
      <c r="B50" s="249"/>
      <c r="C50" s="250"/>
      <c r="D50" s="99" t="s">
        <v>127</v>
      </c>
      <c r="E50" s="100" t="s">
        <v>74</v>
      </c>
      <c r="F50" s="101" t="s">
        <v>123</v>
      </c>
      <c r="G50" s="101" t="s">
        <v>132</v>
      </c>
      <c r="H50" s="370" t="s">
        <v>74</v>
      </c>
      <c r="I50" s="371"/>
      <c r="K50" s="25"/>
    </row>
    <row r="51" spans="1:11" x14ac:dyDescent="0.3">
      <c r="A51" s="102"/>
      <c r="B51" s="103"/>
      <c r="C51" s="103"/>
      <c r="D51" s="104"/>
      <c r="E51" s="105"/>
      <c r="F51" s="106"/>
      <c r="G51" s="106"/>
      <c r="H51" s="103"/>
      <c r="I51" s="107"/>
      <c r="K51" s="25"/>
    </row>
    <row r="52" spans="1:11" ht="17.600000000000001" x14ac:dyDescent="0.4">
      <c r="A52" s="142" t="s">
        <v>92</v>
      </c>
      <c r="B52" s="43"/>
      <c r="C52" s="43"/>
      <c r="D52" s="143"/>
      <c r="E52" s="144"/>
      <c r="F52" s="145"/>
      <c r="G52" s="145"/>
      <c r="H52" s="146"/>
      <c r="I52" s="147"/>
    </row>
    <row r="53" spans="1:11" ht="17.600000000000001" x14ac:dyDescent="0.4">
      <c r="A53" s="261" t="s">
        <v>93</v>
      </c>
      <c r="B53" s="262"/>
      <c r="C53" s="262"/>
      <c r="D53" s="262"/>
      <c r="E53" s="262"/>
      <c r="F53" s="262"/>
      <c r="G53" s="262"/>
      <c r="H53" s="262"/>
      <c r="I53" s="263"/>
    </row>
    <row r="54" spans="1:11" ht="17.600000000000001" x14ac:dyDescent="0.4">
      <c r="A54" s="148" t="s">
        <v>87</v>
      </c>
      <c r="B54" s="149"/>
      <c r="C54" s="150"/>
      <c r="D54" s="205"/>
      <c r="E54" s="115"/>
      <c r="F54" s="213">
        <f>E12</f>
        <v>0</v>
      </c>
      <c r="G54" s="186" t="e">
        <f>E5/(E5+E6+E8)</f>
        <v>#DIV/0!</v>
      </c>
      <c r="H54" s="365" t="e">
        <f t="shared" ref="H54:H59" si="0">D54*E54*F54*G54</f>
        <v>#DIV/0!</v>
      </c>
      <c r="I54" s="366"/>
    </row>
    <row r="55" spans="1:11" ht="17.600000000000001" x14ac:dyDescent="0.4">
      <c r="A55" s="153" t="s">
        <v>88</v>
      </c>
      <c r="B55" s="154"/>
      <c r="C55" s="155"/>
      <c r="D55" s="205"/>
      <c r="E55" s="115"/>
      <c r="F55" s="213">
        <f>E12</f>
        <v>0</v>
      </c>
      <c r="G55" s="186" t="e">
        <f>E5/(E5+E6+E8)</f>
        <v>#DIV/0!</v>
      </c>
      <c r="H55" s="365" t="e">
        <f t="shared" si="0"/>
        <v>#DIV/0!</v>
      </c>
      <c r="I55" s="366"/>
    </row>
    <row r="56" spans="1:11" ht="17.600000000000001" x14ac:dyDescent="0.4">
      <c r="A56" s="258" t="s">
        <v>94</v>
      </c>
      <c r="B56" s="259"/>
      <c r="C56" s="260"/>
      <c r="D56" s="205"/>
      <c r="E56" s="115"/>
      <c r="F56" s="213">
        <f>E12</f>
        <v>0</v>
      </c>
      <c r="G56" s="186" t="e">
        <f>E5/(E5+E6+E8)</f>
        <v>#DIV/0!</v>
      </c>
      <c r="H56" s="364" t="e">
        <f t="shared" si="0"/>
        <v>#DIV/0!</v>
      </c>
      <c r="I56" s="364"/>
    </row>
    <row r="57" spans="1:11" ht="17.600000000000001" x14ac:dyDescent="0.4">
      <c r="A57" s="258" t="s">
        <v>95</v>
      </c>
      <c r="B57" s="259"/>
      <c r="C57" s="260"/>
      <c r="D57" s="205"/>
      <c r="E57" s="115"/>
      <c r="F57" s="213">
        <f>E12</f>
        <v>0</v>
      </c>
      <c r="G57" s="186" t="e">
        <f>E5/(E5+E6+E8)</f>
        <v>#DIV/0!</v>
      </c>
      <c r="H57" s="364" t="e">
        <f t="shared" si="0"/>
        <v>#DIV/0!</v>
      </c>
      <c r="I57" s="364"/>
    </row>
    <row r="58" spans="1:11" ht="17.600000000000001" x14ac:dyDescent="0.4">
      <c r="A58" s="258" t="s">
        <v>125</v>
      </c>
      <c r="B58" s="259"/>
      <c r="C58" s="260"/>
      <c r="D58" s="205"/>
      <c r="E58" s="115"/>
      <c r="F58" s="213">
        <f>E12</f>
        <v>0</v>
      </c>
      <c r="G58" s="186" t="e">
        <f>E5/(E5+E6+E8)</f>
        <v>#DIV/0!</v>
      </c>
      <c r="H58" s="364" t="e">
        <f t="shared" si="0"/>
        <v>#DIV/0!</v>
      </c>
      <c r="I58" s="364"/>
    </row>
    <row r="59" spans="1:11" ht="17.25" customHeight="1" x14ac:dyDescent="0.4">
      <c r="A59" s="258" t="s">
        <v>126</v>
      </c>
      <c r="B59" s="259"/>
      <c r="C59" s="260"/>
      <c r="D59" s="205"/>
      <c r="E59" s="115"/>
      <c r="F59" s="213">
        <f>E12</f>
        <v>0</v>
      </c>
      <c r="G59" s="186" t="e">
        <f>E5/(E5+E6+E8)</f>
        <v>#DIV/0!</v>
      </c>
      <c r="H59" s="364" t="e">
        <f t="shared" si="0"/>
        <v>#DIV/0!</v>
      </c>
      <c r="I59" s="364"/>
    </row>
    <row r="60" spans="1:11" ht="17.600000000000001" x14ac:dyDescent="0.4">
      <c r="A60" s="258" t="s">
        <v>163</v>
      </c>
      <c r="B60" s="259"/>
      <c r="C60" s="260"/>
      <c r="D60" s="205"/>
      <c r="E60" s="115"/>
      <c r="F60" s="213">
        <f>E12</f>
        <v>0</v>
      </c>
      <c r="G60" s="186" t="e">
        <f>E5/(E5+E6+E8)</f>
        <v>#DIV/0!</v>
      </c>
      <c r="H60" s="364" t="e">
        <f>D60*E60*F60*G60</f>
        <v>#DIV/0!</v>
      </c>
      <c r="I60" s="364"/>
    </row>
    <row r="61" spans="1:11" ht="17.25" customHeight="1" x14ac:dyDescent="0.4">
      <c r="A61" s="258" t="s">
        <v>164</v>
      </c>
      <c r="B61" s="259"/>
      <c r="C61" s="260"/>
      <c r="D61" s="205"/>
      <c r="E61" s="115"/>
      <c r="F61" s="213">
        <f>E12</f>
        <v>0</v>
      </c>
      <c r="G61" s="186" t="e">
        <f>E5/(E5+E6+E8)</f>
        <v>#DIV/0!</v>
      </c>
      <c r="H61" s="364" t="e">
        <f>D61*E61*F61*G61</f>
        <v>#DIV/0!</v>
      </c>
      <c r="I61" s="364"/>
    </row>
    <row r="62" spans="1:11" ht="17.600000000000001" x14ac:dyDescent="0.4">
      <c r="A62" s="258" t="s">
        <v>83</v>
      </c>
      <c r="B62" s="259"/>
      <c r="C62" s="260"/>
      <c r="D62" s="163"/>
      <c r="E62" s="164"/>
      <c r="F62" s="138"/>
      <c r="G62" s="165"/>
      <c r="H62" s="364" t="e">
        <f>(H56+H58+H54+H60)*0.062</f>
        <v>#DIV/0!</v>
      </c>
      <c r="I62" s="364"/>
      <c r="J62" s="132"/>
    </row>
    <row r="63" spans="1:11" s="167" customFormat="1" ht="17.600000000000001" x14ac:dyDescent="0.4">
      <c r="A63" s="258" t="s">
        <v>84</v>
      </c>
      <c r="B63" s="259"/>
      <c r="C63" s="260"/>
      <c r="D63" s="163"/>
      <c r="E63" s="164"/>
      <c r="F63" s="138"/>
      <c r="G63" s="165"/>
      <c r="H63" s="364" t="e">
        <f>(H56+H58+H54+H60)*0.0145</f>
        <v>#DIV/0!</v>
      </c>
      <c r="I63" s="364"/>
      <c r="J63" s="166"/>
    </row>
    <row r="64" spans="1:11" s="167" customFormat="1" ht="17.600000000000001" x14ac:dyDescent="0.4">
      <c r="A64" s="258" t="s">
        <v>85</v>
      </c>
      <c r="B64" s="259"/>
      <c r="C64" s="260"/>
      <c r="D64" s="163"/>
      <c r="E64" s="164"/>
      <c r="F64" s="138"/>
      <c r="G64" s="165"/>
      <c r="H64" s="364" t="e">
        <f>(H56+H58+H54+H60)*0.028</f>
        <v>#DIV/0!</v>
      </c>
      <c r="I64" s="364"/>
      <c r="J64" s="166"/>
    </row>
    <row r="65" spans="1:11" s="167" customFormat="1" ht="17.600000000000001" x14ac:dyDescent="0.4">
      <c r="A65" s="258" t="s">
        <v>86</v>
      </c>
      <c r="B65" s="259"/>
      <c r="C65" s="260"/>
      <c r="D65" s="163"/>
      <c r="E65" s="164"/>
      <c r="F65" s="138"/>
      <c r="G65" s="165"/>
      <c r="H65" s="364" t="e">
        <f>(H56+H58+H54+H60)*0.005</f>
        <v>#DIV/0!</v>
      </c>
      <c r="I65" s="364"/>
      <c r="J65" s="166"/>
    </row>
    <row r="66" spans="1:11" ht="17.600000000000001" x14ac:dyDescent="0.4">
      <c r="A66" s="261"/>
      <c r="B66" s="262"/>
      <c r="C66" s="262"/>
      <c r="D66" s="262"/>
      <c r="E66" s="262"/>
      <c r="F66" s="262"/>
      <c r="G66" s="262"/>
      <c r="H66" s="262"/>
      <c r="I66" s="263"/>
    </row>
    <row r="67" spans="1:11" ht="37.299999999999997" x14ac:dyDescent="0.3">
      <c r="A67" s="367" t="s">
        <v>71</v>
      </c>
      <c r="B67" s="368"/>
      <c r="C67" s="369"/>
      <c r="D67" s="99"/>
      <c r="E67" s="100" t="s">
        <v>74</v>
      </c>
      <c r="F67" s="101" t="s">
        <v>123</v>
      </c>
      <c r="G67" s="101" t="s">
        <v>132</v>
      </c>
      <c r="H67" s="370" t="s">
        <v>74</v>
      </c>
      <c r="I67" s="371"/>
      <c r="K67" s="25"/>
    </row>
    <row r="68" spans="1:11" s="167" customFormat="1" ht="17.600000000000001" x14ac:dyDescent="0.4">
      <c r="A68" s="133" t="s">
        <v>165</v>
      </c>
      <c r="B68" s="37"/>
      <c r="C68" s="37"/>
      <c r="D68" s="37"/>
      <c r="E68" s="37"/>
      <c r="F68" s="200"/>
      <c r="G68" s="200"/>
      <c r="H68" s="37"/>
      <c r="I68" s="201"/>
      <c r="J68" s="166"/>
    </row>
    <row r="69" spans="1:11" ht="17.600000000000001" x14ac:dyDescent="0.4">
      <c r="A69" s="148" t="s">
        <v>91</v>
      </c>
      <c r="B69" s="150"/>
      <c r="C69" s="157"/>
      <c r="D69" s="158"/>
      <c r="E69" s="130"/>
      <c r="F69" s="214">
        <f>E12</f>
        <v>0</v>
      </c>
      <c r="G69" s="187" t="e">
        <f>E5/(E5+E6+E8)</f>
        <v>#DIV/0!</v>
      </c>
      <c r="H69" s="365" t="e">
        <f>E69*F69*G69</f>
        <v>#DIV/0!</v>
      </c>
      <c r="I69" s="366"/>
    </row>
    <row r="70" spans="1:11" ht="17.600000000000001" x14ac:dyDescent="0.4">
      <c r="A70" s="261"/>
      <c r="B70" s="262"/>
      <c r="C70" s="262"/>
      <c r="D70" s="262"/>
      <c r="E70" s="262"/>
      <c r="F70" s="262"/>
      <c r="G70" s="262"/>
      <c r="H70" s="262"/>
      <c r="I70" s="263"/>
    </row>
    <row r="71" spans="1:11" ht="37.299999999999997" x14ac:dyDescent="0.3">
      <c r="A71" s="367" t="s">
        <v>71</v>
      </c>
      <c r="B71" s="368"/>
      <c r="C71" s="369"/>
      <c r="D71" s="99"/>
      <c r="E71" s="100" t="s">
        <v>74</v>
      </c>
      <c r="F71" s="101" t="s">
        <v>123</v>
      </c>
      <c r="G71" s="101" t="s">
        <v>132</v>
      </c>
      <c r="H71" s="370" t="s">
        <v>74</v>
      </c>
      <c r="I71" s="371"/>
      <c r="K71" s="25"/>
    </row>
    <row r="72" spans="1:11" s="167" customFormat="1" ht="17.600000000000001" x14ac:dyDescent="0.4">
      <c r="A72" s="133" t="s">
        <v>166</v>
      </c>
      <c r="B72" s="37"/>
      <c r="C72" s="37"/>
      <c r="D72" s="37"/>
      <c r="E72" s="37"/>
      <c r="F72" s="200"/>
      <c r="G72" s="200"/>
      <c r="H72" s="37"/>
      <c r="I72" s="201"/>
      <c r="J72" s="166"/>
    </row>
    <row r="73" spans="1:11" s="167" customFormat="1" ht="17.600000000000001" x14ac:dyDescent="0.4">
      <c r="A73" s="258" t="s">
        <v>96</v>
      </c>
      <c r="B73" s="259"/>
      <c r="C73" s="260"/>
      <c r="D73" s="163"/>
      <c r="E73" s="130"/>
      <c r="F73" s="215">
        <f>E12</f>
        <v>0</v>
      </c>
      <c r="G73" s="186" t="e">
        <f>E5/(E5+E6+E8)</f>
        <v>#DIV/0!</v>
      </c>
      <c r="H73" s="364" t="e">
        <f>E73*F73*G73</f>
        <v>#DIV/0!</v>
      </c>
      <c r="I73" s="364"/>
      <c r="J73" s="166"/>
    </row>
    <row r="74" spans="1:11" s="167" customFormat="1" ht="17.600000000000001" x14ac:dyDescent="0.4">
      <c r="A74" s="258" t="s">
        <v>97</v>
      </c>
      <c r="B74" s="259"/>
      <c r="C74" s="260"/>
      <c r="D74" s="163"/>
      <c r="E74" s="130"/>
      <c r="F74" s="215">
        <f>E12</f>
        <v>0</v>
      </c>
      <c r="G74" s="186" t="e">
        <f>E5/(E5+E6+E8)</f>
        <v>#DIV/0!</v>
      </c>
      <c r="H74" s="364" t="e">
        <f>E74*F74*G74</f>
        <v>#DIV/0!</v>
      </c>
      <c r="I74" s="364"/>
      <c r="J74" s="166"/>
    </row>
    <row r="75" spans="1:11" s="167" customFormat="1" ht="17.600000000000001" x14ac:dyDescent="0.4">
      <c r="A75" s="258" t="s">
        <v>98</v>
      </c>
      <c r="B75" s="259"/>
      <c r="C75" s="260"/>
      <c r="D75" s="163"/>
      <c r="E75" s="130"/>
      <c r="F75" s="215">
        <f>E12</f>
        <v>0</v>
      </c>
      <c r="G75" s="186" t="e">
        <f>E5/(E5+E6+E8)</f>
        <v>#DIV/0!</v>
      </c>
      <c r="H75" s="364" t="e">
        <f t="shared" ref="H75:H86" si="1">E75*F75*G75</f>
        <v>#DIV/0!</v>
      </c>
      <c r="I75" s="364"/>
      <c r="J75" s="166"/>
    </row>
    <row r="76" spans="1:11" s="167" customFormat="1" ht="17.600000000000001" x14ac:dyDescent="0.4">
      <c r="A76" s="258" t="s">
        <v>99</v>
      </c>
      <c r="B76" s="259"/>
      <c r="C76" s="260"/>
      <c r="D76" s="163"/>
      <c r="E76" s="130"/>
      <c r="F76" s="215">
        <f>E12</f>
        <v>0</v>
      </c>
      <c r="G76" s="186" t="e">
        <f>E5/(E5+E6+E8)</f>
        <v>#DIV/0!</v>
      </c>
      <c r="H76" s="364" t="e">
        <f>E76*F76*G76</f>
        <v>#DIV/0!</v>
      </c>
      <c r="I76" s="364"/>
      <c r="J76" s="166"/>
    </row>
    <row r="77" spans="1:11" s="167" customFormat="1" ht="17.600000000000001" x14ac:dyDescent="0.4">
      <c r="A77" s="258" t="s">
        <v>100</v>
      </c>
      <c r="B77" s="259"/>
      <c r="C77" s="260"/>
      <c r="D77" s="163"/>
      <c r="E77" s="130"/>
      <c r="F77" s="215">
        <f>E12</f>
        <v>0</v>
      </c>
      <c r="G77" s="186" t="e">
        <f>E5/(E5+E6+E8)</f>
        <v>#DIV/0!</v>
      </c>
      <c r="H77" s="364" t="e">
        <f t="shared" si="1"/>
        <v>#DIV/0!</v>
      </c>
      <c r="I77" s="364"/>
      <c r="J77" s="166"/>
    </row>
    <row r="78" spans="1:11" s="167" customFormat="1" ht="16.5" customHeight="1" x14ac:dyDescent="0.4">
      <c r="A78" s="258" t="s">
        <v>101</v>
      </c>
      <c r="B78" s="259"/>
      <c r="C78" s="260"/>
      <c r="D78" s="163"/>
      <c r="E78" s="130"/>
      <c r="F78" s="215">
        <f>E12</f>
        <v>0</v>
      </c>
      <c r="G78" s="186" t="e">
        <f>E5/(E5+E6+E8)</f>
        <v>#DIV/0!</v>
      </c>
      <c r="H78" s="364" t="e">
        <f t="shared" si="1"/>
        <v>#DIV/0!</v>
      </c>
      <c r="I78" s="364"/>
      <c r="J78" s="166"/>
    </row>
    <row r="79" spans="1:11" s="167" customFormat="1" ht="17.600000000000001" x14ac:dyDescent="0.4">
      <c r="A79" s="258" t="s">
        <v>102</v>
      </c>
      <c r="B79" s="259"/>
      <c r="C79" s="260"/>
      <c r="D79" s="163"/>
      <c r="E79" s="130"/>
      <c r="F79" s="215">
        <f>E12</f>
        <v>0</v>
      </c>
      <c r="G79" s="186" t="e">
        <f>E5/(E5+E6+E8)</f>
        <v>#DIV/0!</v>
      </c>
      <c r="H79" s="364" t="e">
        <f t="shared" si="1"/>
        <v>#DIV/0!</v>
      </c>
      <c r="I79" s="364"/>
      <c r="J79" s="166"/>
    </row>
    <row r="80" spans="1:11" s="167" customFormat="1" ht="17.600000000000001" x14ac:dyDescent="0.4">
      <c r="A80" s="258" t="s">
        <v>103</v>
      </c>
      <c r="B80" s="259"/>
      <c r="C80" s="260"/>
      <c r="D80" s="163"/>
      <c r="E80" s="130"/>
      <c r="F80" s="215">
        <f>E12</f>
        <v>0</v>
      </c>
      <c r="G80" s="186" t="e">
        <f>E5/(E5+E6+E8)</f>
        <v>#DIV/0!</v>
      </c>
      <c r="H80" s="364" t="e">
        <f t="shared" si="1"/>
        <v>#DIV/0!</v>
      </c>
      <c r="I80" s="364"/>
      <c r="J80" s="166"/>
    </row>
    <row r="81" spans="1:10" s="167" customFormat="1" ht="17.600000000000001" x14ac:dyDescent="0.4">
      <c r="A81" s="258" t="s">
        <v>133</v>
      </c>
      <c r="B81" s="259"/>
      <c r="C81" s="260"/>
      <c r="D81" s="163"/>
      <c r="E81" s="130"/>
      <c r="F81" s="215">
        <f>E12</f>
        <v>0</v>
      </c>
      <c r="G81" s="186" t="e">
        <f>E5/(E5+E6+E8)</f>
        <v>#DIV/0!</v>
      </c>
      <c r="H81" s="364" t="e">
        <f t="shared" si="1"/>
        <v>#DIV/0!</v>
      </c>
      <c r="I81" s="364"/>
      <c r="J81" s="166"/>
    </row>
    <row r="82" spans="1:10" s="167" customFormat="1" ht="17.600000000000001" x14ac:dyDescent="0.4">
      <c r="A82" s="258" t="s">
        <v>104</v>
      </c>
      <c r="B82" s="259"/>
      <c r="C82" s="260"/>
      <c r="D82" s="163"/>
      <c r="E82" s="130"/>
      <c r="F82" s="215">
        <f>E12</f>
        <v>0</v>
      </c>
      <c r="G82" s="186" t="e">
        <f>E5/(E5+E6+E8)</f>
        <v>#DIV/0!</v>
      </c>
      <c r="H82" s="364" t="e">
        <f t="shared" si="1"/>
        <v>#DIV/0!</v>
      </c>
      <c r="I82" s="364"/>
      <c r="J82" s="166"/>
    </row>
    <row r="83" spans="1:10" s="167" customFormat="1" ht="17.600000000000001" x14ac:dyDescent="0.4">
      <c r="A83" s="258" t="s">
        <v>105</v>
      </c>
      <c r="B83" s="259"/>
      <c r="C83" s="260"/>
      <c r="D83" s="163"/>
      <c r="E83" s="130"/>
      <c r="F83" s="215">
        <f>E12</f>
        <v>0</v>
      </c>
      <c r="G83" s="186" t="e">
        <f>E5/(E5+E6+E8)</f>
        <v>#DIV/0!</v>
      </c>
      <c r="H83" s="364" t="e">
        <f t="shared" si="1"/>
        <v>#DIV/0!</v>
      </c>
      <c r="I83" s="364"/>
      <c r="J83" s="166"/>
    </row>
    <row r="84" spans="1:10" s="167" customFormat="1" ht="17.600000000000001" x14ac:dyDescent="0.4">
      <c r="A84" s="258" t="s">
        <v>106</v>
      </c>
      <c r="B84" s="259"/>
      <c r="C84" s="260"/>
      <c r="D84" s="163"/>
      <c r="E84" s="130"/>
      <c r="F84" s="215">
        <f>E12</f>
        <v>0</v>
      </c>
      <c r="G84" s="186" t="e">
        <f>E5/(E5+E6+E8)</f>
        <v>#DIV/0!</v>
      </c>
      <c r="H84" s="364" t="e">
        <f t="shared" si="1"/>
        <v>#DIV/0!</v>
      </c>
      <c r="I84" s="364"/>
      <c r="J84" s="166"/>
    </row>
    <row r="85" spans="1:10" s="167" customFormat="1" ht="17.600000000000001" x14ac:dyDescent="0.4">
      <c r="A85" s="258" t="s">
        <v>107</v>
      </c>
      <c r="B85" s="259"/>
      <c r="C85" s="260"/>
      <c r="D85" s="163"/>
      <c r="E85" s="130"/>
      <c r="F85" s="215">
        <f>E12</f>
        <v>0</v>
      </c>
      <c r="G85" s="186" t="e">
        <f>E5/(E5+E6+E8)</f>
        <v>#DIV/0!</v>
      </c>
      <c r="H85" s="364" t="e">
        <f t="shared" si="1"/>
        <v>#DIV/0!</v>
      </c>
      <c r="I85" s="364"/>
      <c r="J85" s="166"/>
    </row>
    <row r="86" spans="1:10" s="167" customFormat="1" ht="17.600000000000001" x14ac:dyDescent="0.4">
      <c r="A86" s="258" t="s">
        <v>108</v>
      </c>
      <c r="B86" s="259"/>
      <c r="C86" s="260"/>
      <c r="D86" s="163"/>
      <c r="E86" s="130"/>
      <c r="F86" s="215">
        <f>E12</f>
        <v>0</v>
      </c>
      <c r="G86" s="185" t="e">
        <f>E5/(E5+E6+E8)</f>
        <v>#DIV/0!</v>
      </c>
      <c r="H86" s="364" t="e">
        <f t="shared" si="1"/>
        <v>#DIV/0!</v>
      </c>
      <c r="I86" s="364"/>
      <c r="J86" s="166"/>
    </row>
    <row r="87" spans="1:10" s="167" customFormat="1" ht="17.600000000000001" x14ac:dyDescent="0.4">
      <c r="A87" s="258" t="s">
        <v>152</v>
      </c>
      <c r="B87" s="259"/>
      <c r="C87" s="260"/>
      <c r="D87" s="163"/>
      <c r="E87" s="130"/>
      <c r="F87" s="215">
        <v>1</v>
      </c>
      <c r="G87" s="186">
        <v>1</v>
      </c>
      <c r="H87" s="364">
        <f>E87*F87*G87</f>
        <v>0</v>
      </c>
      <c r="I87" s="364"/>
      <c r="J87" s="166"/>
    </row>
    <row r="88" spans="1:10" s="167" customFormat="1" ht="17.600000000000001" x14ac:dyDescent="0.4">
      <c r="A88" s="168" t="s">
        <v>146</v>
      </c>
      <c r="B88" s="168"/>
      <c r="C88" s="168"/>
      <c r="D88" s="169"/>
      <c r="E88" s="170"/>
      <c r="F88" s="171"/>
      <c r="G88" s="171"/>
      <c r="H88" s="382" t="e">
        <f>SUM(H73:I87)+SUM(H54:I65)+H69</f>
        <v>#DIV/0!</v>
      </c>
      <c r="I88" s="382"/>
      <c r="J88" s="166"/>
    </row>
    <row r="89" spans="1:10" s="167" customFormat="1" ht="17.600000000000001" x14ac:dyDescent="0.4">
      <c r="A89" s="133"/>
      <c r="B89" s="37"/>
      <c r="C89" s="37"/>
      <c r="D89" s="172"/>
      <c r="E89" s="161"/>
      <c r="F89" s="162"/>
      <c r="G89" s="162"/>
      <c r="H89" s="42"/>
      <c r="I89" s="173"/>
      <c r="J89" s="166"/>
    </row>
    <row r="90" spans="1:10" s="167" customFormat="1" ht="17.600000000000001" x14ac:dyDescent="0.4">
      <c r="A90" s="142" t="s">
        <v>130</v>
      </c>
      <c r="B90" s="43"/>
      <c r="C90" s="43"/>
      <c r="D90" s="174"/>
      <c r="E90" s="44"/>
      <c r="F90" s="45"/>
      <c r="G90" s="45"/>
      <c r="H90" s="46"/>
      <c r="I90" s="175"/>
      <c r="J90" s="166"/>
    </row>
    <row r="91" spans="1:10" s="167" customFormat="1" ht="17.600000000000001" x14ac:dyDescent="0.4">
      <c r="A91" s="255" t="s">
        <v>131</v>
      </c>
      <c r="B91" s="256"/>
      <c r="C91" s="256"/>
      <c r="D91" s="256"/>
      <c r="E91" s="256"/>
      <c r="F91" s="256"/>
      <c r="G91" s="256"/>
      <c r="H91" s="257"/>
      <c r="I91" s="190">
        <v>0</v>
      </c>
      <c r="J91" s="166"/>
    </row>
    <row r="92" spans="1:10" s="152" customFormat="1" ht="17.600000000000001" x14ac:dyDescent="0.4">
      <c r="A92" s="255" t="s">
        <v>131</v>
      </c>
      <c r="B92" s="256"/>
      <c r="C92" s="256"/>
      <c r="D92" s="256"/>
      <c r="E92" s="256"/>
      <c r="F92" s="256"/>
      <c r="G92" s="256"/>
      <c r="H92" s="257"/>
      <c r="I92" s="190">
        <v>0</v>
      </c>
      <c r="J92" s="176"/>
    </row>
    <row r="93" spans="1:10" s="152" customFormat="1" ht="17.600000000000001" x14ac:dyDescent="0.4">
      <c r="A93" s="255" t="s">
        <v>131</v>
      </c>
      <c r="B93" s="256"/>
      <c r="C93" s="256"/>
      <c r="D93" s="256"/>
      <c r="E93" s="256"/>
      <c r="F93" s="256"/>
      <c r="G93" s="256"/>
      <c r="H93" s="257"/>
      <c r="I93" s="190">
        <v>0</v>
      </c>
      <c r="J93" s="176"/>
    </row>
    <row r="94" spans="1:10" s="152" customFormat="1" ht="17.600000000000001" x14ac:dyDescent="0.4">
      <c r="A94" s="255" t="s">
        <v>131</v>
      </c>
      <c r="B94" s="256"/>
      <c r="C94" s="256"/>
      <c r="D94" s="256"/>
      <c r="E94" s="256"/>
      <c r="F94" s="256"/>
      <c r="G94" s="256"/>
      <c r="H94" s="257"/>
      <c r="I94" s="190">
        <v>0</v>
      </c>
      <c r="J94" s="176"/>
    </row>
    <row r="95" spans="1:10" s="152" customFormat="1" ht="17.600000000000001" x14ac:dyDescent="0.4">
      <c r="A95" s="255" t="s">
        <v>131</v>
      </c>
      <c r="B95" s="256"/>
      <c r="C95" s="256"/>
      <c r="D95" s="256"/>
      <c r="E95" s="256"/>
      <c r="F95" s="256"/>
      <c r="G95" s="256"/>
      <c r="H95" s="257"/>
      <c r="I95" s="190">
        <v>0</v>
      </c>
      <c r="J95" s="151"/>
    </row>
    <row r="96" spans="1:10" s="152" customFormat="1" ht="17.600000000000001" x14ac:dyDescent="0.4">
      <c r="A96" s="133" t="s">
        <v>138</v>
      </c>
      <c r="B96" s="37"/>
      <c r="C96" s="37"/>
      <c r="D96" s="160"/>
      <c r="E96" s="161"/>
      <c r="F96" s="162"/>
      <c r="G96" s="162"/>
      <c r="H96" s="177"/>
      <c r="I96" s="184">
        <f>SUM(I91:I95)</f>
        <v>0</v>
      </c>
      <c r="J96" s="151"/>
    </row>
    <row r="97" spans="1:10" ht="17.600000000000001" x14ac:dyDescent="0.4">
      <c r="A97" s="94"/>
      <c r="B97" s="113"/>
      <c r="C97" s="113"/>
      <c r="D97" s="135"/>
      <c r="E97" s="136"/>
      <c r="F97" s="137"/>
      <c r="G97" s="137"/>
      <c r="H97" s="113"/>
      <c r="I97" s="178"/>
    </row>
    <row r="98" spans="1:10" ht="17.600000000000001" x14ac:dyDescent="0.4">
      <c r="A98" s="142" t="s">
        <v>156</v>
      </c>
      <c r="B98" s="43"/>
      <c r="C98" s="43"/>
      <c r="D98" s="47"/>
      <c r="E98" s="44"/>
      <c r="F98" s="45"/>
      <c r="G98" s="45"/>
      <c r="H98" s="46"/>
      <c r="I98" s="179"/>
    </row>
    <row r="99" spans="1:10" ht="17.600000000000001" x14ac:dyDescent="0.4">
      <c r="A99" s="133" t="s">
        <v>157</v>
      </c>
      <c r="B99" s="37"/>
      <c r="C99" s="37"/>
      <c r="D99" s="38"/>
      <c r="E99" s="39"/>
      <c r="F99" s="40"/>
      <c r="G99" s="40"/>
      <c r="H99" s="42"/>
      <c r="I99" s="184" t="e">
        <f>H49+H88+I96</f>
        <v>#DIV/0!</v>
      </c>
    </row>
    <row r="100" spans="1:10" ht="17.600000000000001" x14ac:dyDescent="0.4">
      <c r="A100" s="133" t="s">
        <v>158</v>
      </c>
      <c r="B100" s="37"/>
      <c r="C100" s="37"/>
      <c r="D100" s="38"/>
      <c r="E100" s="39"/>
      <c r="F100" s="40"/>
      <c r="G100" s="40"/>
      <c r="H100" s="42"/>
      <c r="I100" s="184" t="e">
        <f>I99/E5</f>
        <v>#DIV/0!</v>
      </c>
    </row>
    <row r="101" spans="1:10" ht="17.600000000000001" x14ac:dyDescent="0.4">
      <c r="A101" s="94"/>
      <c r="B101" s="113"/>
      <c r="C101" s="113"/>
      <c r="D101" s="135"/>
      <c r="E101" s="136"/>
      <c r="F101" s="137"/>
      <c r="G101" s="137"/>
      <c r="H101" s="113"/>
      <c r="I101" s="180"/>
    </row>
    <row r="102" spans="1:10" s="152" customFormat="1" ht="17.600000000000001" x14ac:dyDescent="0.4">
      <c r="A102" s="142" t="s">
        <v>115</v>
      </c>
      <c r="B102" s="43"/>
      <c r="C102" s="43"/>
      <c r="D102" s="47"/>
      <c r="E102" s="44"/>
      <c r="F102" s="45"/>
      <c r="G102" s="45"/>
      <c r="H102" s="46"/>
      <c r="I102" s="181"/>
      <c r="J102" s="151"/>
    </row>
    <row r="103" spans="1:10" s="152" customFormat="1" ht="17.600000000000001" x14ac:dyDescent="0.4">
      <c r="A103" s="209" t="s">
        <v>155</v>
      </c>
      <c r="B103" s="48"/>
      <c r="C103" s="48"/>
      <c r="D103" s="49"/>
      <c r="E103" s="41"/>
      <c r="F103" s="50"/>
      <c r="G103" s="50"/>
      <c r="H103" s="41"/>
      <c r="I103" s="190">
        <v>0</v>
      </c>
      <c r="J103" s="151"/>
    </row>
    <row r="104" spans="1:10" ht="17.600000000000001" x14ac:dyDescent="0.4">
      <c r="A104" s="209" t="s">
        <v>155</v>
      </c>
      <c r="B104" s="48"/>
      <c r="C104" s="48"/>
      <c r="D104" s="49"/>
      <c r="E104" s="41"/>
      <c r="F104" s="50"/>
      <c r="G104" s="50"/>
      <c r="H104" s="41"/>
      <c r="I104" s="190">
        <v>0</v>
      </c>
    </row>
    <row r="105" spans="1:10" ht="17.600000000000001" x14ac:dyDescent="0.4">
      <c r="A105" s="209" t="s">
        <v>155</v>
      </c>
      <c r="B105" s="48"/>
      <c r="C105" s="48"/>
      <c r="D105" s="49"/>
      <c r="E105" s="41"/>
      <c r="F105" s="50"/>
      <c r="G105" s="50"/>
      <c r="H105" s="41"/>
      <c r="I105" s="190">
        <v>0</v>
      </c>
    </row>
    <row r="106" spans="1:10" ht="17.600000000000001" x14ac:dyDescent="0.4">
      <c r="A106" s="209" t="s">
        <v>155</v>
      </c>
      <c r="B106" s="48"/>
      <c r="C106" s="48"/>
      <c r="D106" s="49"/>
      <c r="E106" s="41"/>
      <c r="F106" s="50"/>
      <c r="G106" s="50"/>
      <c r="H106" s="41"/>
      <c r="I106" s="190">
        <v>0</v>
      </c>
    </row>
    <row r="107" spans="1:10" ht="17.600000000000001" x14ac:dyDescent="0.4">
      <c r="A107" s="209" t="s">
        <v>155</v>
      </c>
      <c r="B107" s="48"/>
      <c r="C107" s="48"/>
      <c r="D107" s="49"/>
      <c r="E107" s="41"/>
      <c r="F107" s="50"/>
      <c r="G107" s="50"/>
      <c r="H107" s="41"/>
      <c r="I107" s="190">
        <v>0</v>
      </c>
    </row>
    <row r="108" spans="1:10" ht="17.600000000000001" x14ac:dyDescent="0.4">
      <c r="A108" s="133" t="s">
        <v>159</v>
      </c>
      <c r="B108" s="37"/>
      <c r="C108" s="37"/>
      <c r="D108" s="38"/>
      <c r="E108" s="39"/>
      <c r="F108" s="40"/>
      <c r="G108" s="40"/>
      <c r="H108" s="42"/>
      <c r="I108" s="184" t="e">
        <f>I99+SUM(I103:I107)</f>
        <v>#DIV/0!</v>
      </c>
    </row>
    <row r="109" spans="1:10" ht="17.600000000000001" x14ac:dyDescent="0.4">
      <c r="A109" s="133" t="s">
        <v>160</v>
      </c>
      <c r="B109" s="37"/>
      <c r="C109" s="37"/>
      <c r="D109" s="38"/>
      <c r="E109" s="39"/>
      <c r="F109" s="40"/>
      <c r="G109" s="40"/>
      <c r="H109" s="42"/>
      <c r="I109" s="184" t="e">
        <f>I108/E5</f>
        <v>#DIV/0!</v>
      </c>
    </row>
    <row r="110" spans="1:10" hidden="1" x14ac:dyDescent="0.3">
      <c r="E110" s="26"/>
      <c r="H110" s="26"/>
      <c r="I110" s="26"/>
    </row>
    <row r="111" spans="1:10" hidden="1" x14ac:dyDescent="0.3">
      <c r="J111" s="25"/>
    </row>
    <row r="112" spans="1:10" hidden="1" x14ac:dyDescent="0.3">
      <c r="J112" s="307" t="s">
        <v>56</v>
      </c>
    </row>
    <row r="113" spans="10:10" hidden="1" x14ac:dyDescent="0.3">
      <c r="J113" s="307" t="s">
        <v>55</v>
      </c>
    </row>
    <row r="114" spans="10:10" hidden="1" x14ac:dyDescent="0.3">
      <c r="J114" s="307" t="s">
        <v>54</v>
      </c>
    </row>
    <row r="115" spans="10:10" hidden="1" x14ac:dyDescent="0.3">
      <c r="J115" s="307" t="s">
        <v>21</v>
      </c>
    </row>
    <row r="116" spans="10:10" hidden="1" x14ac:dyDescent="0.3">
      <c r="J116" s="307" t="s">
        <v>64</v>
      </c>
    </row>
    <row r="117" spans="10:10" hidden="1" x14ac:dyDescent="0.3">
      <c r="J117" s="307" t="s">
        <v>20</v>
      </c>
    </row>
    <row r="118" spans="10:10" hidden="1" x14ac:dyDescent="0.3">
      <c r="J118" s="307" t="s">
        <v>52</v>
      </c>
    </row>
    <row r="119" spans="10:10" hidden="1" x14ac:dyDescent="0.3">
      <c r="J119" s="307" t="s">
        <v>136</v>
      </c>
    </row>
    <row r="120" spans="10:10" hidden="1" x14ac:dyDescent="0.3">
      <c r="J120" s="307" t="s">
        <v>53</v>
      </c>
    </row>
    <row r="121" spans="10:10" hidden="1" x14ac:dyDescent="0.3">
      <c r="J121" s="307"/>
    </row>
    <row r="122" spans="10:10" hidden="1" x14ac:dyDescent="0.3">
      <c r="J122" s="25"/>
    </row>
    <row r="123" spans="10:10" hidden="1" x14ac:dyDescent="0.3">
      <c r="J123" s="25"/>
    </row>
    <row r="124" spans="10:10" hidden="1" x14ac:dyDescent="0.3">
      <c r="J124" s="25"/>
    </row>
    <row r="125" spans="10:10" hidden="1" x14ac:dyDescent="0.3">
      <c r="J125" s="25"/>
    </row>
  </sheetData>
  <sheetProtection selectLockedCells="1"/>
  <mergeCells count="72">
    <mergeCell ref="H78:I78"/>
    <mergeCell ref="H79:I79"/>
    <mergeCell ref="A67:C67"/>
    <mergeCell ref="H67:I67"/>
    <mergeCell ref="H69:I69"/>
    <mergeCell ref="H71:I71"/>
    <mergeCell ref="H88:I88"/>
    <mergeCell ref="H77:I77"/>
    <mergeCell ref="H84:I84"/>
    <mergeCell ref="H85:I85"/>
    <mergeCell ref="H80:I80"/>
    <mergeCell ref="H82:I82"/>
    <mergeCell ref="H83:I83"/>
    <mergeCell ref="H73:I73"/>
    <mergeCell ref="H86:I86"/>
    <mergeCell ref="H81:I81"/>
    <mergeCell ref="H87:I87"/>
    <mergeCell ref="H74:I74"/>
    <mergeCell ref="A35:C35"/>
    <mergeCell ref="H59:I59"/>
    <mergeCell ref="H55:I55"/>
    <mergeCell ref="H76:I76"/>
    <mergeCell ref="H47:I47"/>
    <mergeCell ref="H41:I41"/>
    <mergeCell ref="H58:I58"/>
    <mergeCell ref="H63:I63"/>
    <mergeCell ref="H64:I64"/>
    <mergeCell ref="H75:I75"/>
    <mergeCell ref="H65:I65"/>
    <mergeCell ref="H60:I60"/>
    <mergeCell ref="H61:I61"/>
    <mergeCell ref="H35:I35"/>
    <mergeCell ref="A71:C71"/>
    <mergeCell ref="H62:I62"/>
    <mergeCell ref="H8:I8"/>
    <mergeCell ref="H9:I9"/>
    <mergeCell ref="F9:G9"/>
    <mergeCell ref="F8:G8"/>
    <mergeCell ref="H57:I57"/>
    <mergeCell ref="H32:I32"/>
    <mergeCell ref="H23:I23"/>
    <mergeCell ref="H25:I25"/>
    <mergeCell ref="H29:I29"/>
    <mergeCell ref="H30:I30"/>
    <mergeCell ref="H33:I33"/>
    <mergeCell ref="H26:I26"/>
    <mergeCell ref="H28:I28"/>
    <mergeCell ref="H54:I54"/>
    <mergeCell ref="H38:I38"/>
    <mergeCell ref="H40:I40"/>
    <mergeCell ref="F4:G4"/>
    <mergeCell ref="F5:G5"/>
    <mergeCell ref="F6:G6"/>
    <mergeCell ref="F7:G7"/>
    <mergeCell ref="H4:I4"/>
    <mergeCell ref="H5:I5"/>
    <mergeCell ref="A1:I1"/>
    <mergeCell ref="H56:I56"/>
    <mergeCell ref="H37:I37"/>
    <mergeCell ref="A15:C15"/>
    <mergeCell ref="H15:I15"/>
    <mergeCell ref="H18:I18"/>
    <mergeCell ref="H20:I20"/>
    <mergeCell ref="H49:I49"/>
    <mergeCell ref="H39:I39"/>
    <mergeCell ref="H50:I50"/>
    <mergeCell ref="H6:I6"/>
    <mergeCell ref="H7:I7"/>
    <mergeCell ref="H45:I45"/>
    <mergeCell ref="H46:I46"/>
    <mergeCell ref="H44:I44"/>
    <mergeCell ref="H21:I21"/>
  </mergeCells>
  <phoneticPr fontId="7" type="noConversion"/>
  <dataValidations count="3">
    <dataValidation type="list" allowBlank="1" showInputMessage="1" showErrorMessage="1" sqref="H7:I7" xr:uid="{00000000-0002-0000-0300-000000000000}">
      <formula1>$J$118:$J$120</formula1>
    </dataValidation>
    <dataValidation type="list" allowBlank="1" showInputMessage="1" showErrorMessage="1" sqref="H6:I6" xr:uid="{00000000-0002-0000-0300-000001000000}">
      <formula1>$J$115:$J$117</formula1>
    </dataValidation>
    <dataValidation type="list" allowBlank="1" showInputMessage="1" showErrorMessage="1" sqref="H8:I8" xr:uid="{00000000-0002-0000-0300-000002000000}">
      <formula1>$J$112:$J$114</formula1>
    </dataValidation>
  </dataValidations>
  <printOptions horizontalCentered="1"/>
  <pageMargins left="0.28000000000000003" right="0.34" top="0.5" bottom="0.75" header="0.3" footer="0.3"/>
  <pageSetup scale="58" orientation="portrait" useFirstPageNumber="1" r:id="rId1"/>
  <headerFooter alignWithMargins="0">
    <oddFooter>&amp;RLast modified on &amp;D, &amp;T</oddFooter>
  </headerFooter>
  <rowBreaks count="1" manualBreakCount="1">
    <brk id="49"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6"/>
  <sheetViews>
    <sheetView zoomScaleNormal="100" workbookViewId="0">
      <selection sqref="A1:J1"/>
    </sheetView>
  </sheetViews>
  <sheetFormatPr defaultColWidth="0" defaultRowHeight="12.9" zeroHeight="1" x14ac:dyDescent="0.35"/>
  <cols>
    <col min="1" max="9" width="9" customWidth="1"/>
    <col min="10" max="10" width="10.15234375" customWidth="1"/>
    <col min="11" max="16384" width="9" hidden="1"/>
  </cols>
  <sheetData>
    <row r="1" spans="1:10" ht="15" x14ac:dyDescent="0.35">
      <c r="A1" s="386" t="s">
        <v>70</v>
      </c>
      <c r="B1" s="386"/>
      <c r="C1" s="386"/>
      <c r="D1" s="386"/>
      <c r="E1" s="386"/>
      <c r="F1" s="386"/>
      <c r="G1" s="386"/>
      <c r="H1" s="386"/>
      <c r="I1" s="386"/>
      <c r="J1" s="386"/>
    </row>
    <row r="2" spans="1:10" ht="15" x14ac:dyDescent="0.35">
      <c r="A2" s="386" t="s">
        <v>111</v>
      </c>
      <c r="B2" s="386"/>
      <c r="C2" s="386"/>
      <c r="D2" s="386"/>
      <c r="E2" s="386"/>
      <c r="F2" s="386"/>
      <c r="G2" s="386"/>
      <c r="H2" s="386"/>
      <c r="I2" s="386"/>
      <c r="J2" s="386"/>
    </row>
    <row r="3" spans="1:10" ht="15" x14ac:dyDescent="0.35">
      <c r="A3" s="386" t="s">
        <v>198</v>
      </c>
      <c r="B3" s="386"/>
      <c r="C3" s="386"/>
      <c r="D3" s="386"/>
      <c r="E3" s="386"/>
      <c r="F3" s="386"/>
      <c r="G3" s="386"/>
      <c r="H3" s="386"/>
      <c r="I3" s="386"/>
      <c r="J3" s="386"/>
    </row>
    <row r="4" spans="1:10" ht="15" x14ac:dyDescent="0.35">
      <c r="A4" s="308"/>
    </row>
    <row r="5" spans="1:10" ht="15" x14ac:dyDescent="0.35">
      <c r="A5" s="386" t="s">
        <v>57</v>
      </c>
      <c r="B5" s="386"/>
      <c r="C5" s="386"/>
      <c r="D5" s="386"/>
      <c r="E5" s="386"/>
      <c r="F5" s="386"/>
      <c r="G5" s="386"/>
      <c r="H5" s="386"/>
      <c r="I5" s="386"/>
      <c r="J5" s="386"/>
    </row>
    <row r="6" spans="1:10" ht="15" x14ac:dyDescent="0.35">
      <c r="A6" s="309"/>
    </row>
    <row r="7" spans="1:10" ht="51" customHeight="1" x14ac:dyDescent="0.4">
      <c r="A7" s="383" t="s">
        <v>170</v>
      </c>
      <c r="B7" s="383"/>
      <c r="C7" s="383"/>
      <c r="D7" s="383"/>
      <c r="E7" s="383"/>
      <c r="F7" s="383"/>
      <c r="G7" s="383"/>
      <c r="H7" s="383"/>
      <c r="I7" s="383"/>
      <c r="J7" s="383"/>
    </row>
    <row r="8" spans="1:10" ht="15" x14ac:dyDescent="0.35">
      <c r="A8" s="309"/>
    </row>
    <row r="9" spans="1:10" ht="15" x14ac:dyDescent="0.35">
      <c r="A9" s="309"/>
    </row>
    <row r="10" spans="1:10" ht="34.5" customHeight="1" x14ac:dyDescent="0.4">
      <c r="A10" s="384" t="s">
        <v>162</v>
      </c>
      <c r="B10" s="385"/>
      <c r="C10" s="385"/>
      <c r="D10" s="385"/>
      <c r="E10" s="385"/>
      <c r="F10" s="385"/>
      <c r="G10" s="385"/>
      <c r="H10" s="385"/>
      <c r="I10" s="385"/>
      <c r="J10" s="385"/>
    </row>
    <row r="11" spans="1:10" ht="15.45" x14ac:dyDescent="0.4">
      <c r="A11" s="310"/>
    </row>
    <row r="12" spans="1:10" ht="35.15" customHeight="1" x14ac:dyDescent="0.4">
      <c r="A12" s="384" t="s">
        <v>169</v>
      </c>
      <c r="B12" s="385"/>
      <c r="C12" s="385"/>
      <c r="D12" s="385"/>
      <c r="E12" s="385"/>
      <c r="F12" s="385"/>
      <c r="G12" s="385"/>
      <c r="H12" s="385"/>
      <c r="I12" s="385"/>
      <c r="J12" s="385"/>
    </row>
    <row r="13" spans="1:10" ht="15.45" x14ac:dyDescent="0.4">
      <c r="A13" s="310"/>
    </row>
    <row r="14" spans="1:10" ht="29.25" customHeight="1" x14ac:dyDescent="0.4">
      <c r="A14" s="384" t="s">
        <v>153</v>
      </c>
      <c r="B14" s="385"/>
      <c r="C14" s="385"/>
      <c r="D14" s="385"/>
      <c r="E14" s="385"/>
      <c r="F14" s="385"/>
      <c r="G14" s="385"/>
      <c r="H14" s="385"/>
      <c r="I14" s="385"/>
      <c r="J14" s="385"/>
    </row>
    <row r="15" spans="1:10" ht="15.45" x14ac:dyDescent="0.4">
      <c r="A15" s="310"/>
    </row>
    <row r="16" spans="1:10" ht="30.75" customHeight="1" x14ac:dyDescent="0.4">
      <c r="A16" s="384" t="s">
        <v>154</v>
      </c>
      <c r="B16" s="385"/>
      <c r="C16" s="385"/>
      <c r="D16" s="385"/>
      <c r="E16" s="385"/>
      <c r="F16" s="385"/>
      <c r="G16" s="385"/>
      <c r="H16" s="385"/>
      <c r="I16" s="385"/>
      <c r="J16" s="385"/>
    </row>
    <row r="17" spans="1:10" ht="15.45" x14ac:dyDescent="0.4">
      <c r="A17" s="311"/>
    </row>
    <row r="18" spans="1:10" ht="30.75" customHeight="1" x14ac:dyDescent="0.4">
      <c r="A18" s="384" t="s">
        <v>167</v>
      </c>
      <c r="B18" s="384"/>
      <c r="C18" s="384"/>
      <c r="D18" s="384"/>
      <c r="E18" s="384"/>
      <c r="F18" s="384"/>
      <c r="G18" s="384"/>
      <c r="H18" s="384"/>
      <c r="I18" s="384"/>
      <c r="J18" s="384"/>
    </row>
    <row r="19" spans="1:10" ht="15.45" x14ac:dyDescent="0.4">
      <c r="A19" s="310"/>
    </row>
    <row r="20" spans="1:10" ht="15.45" x14ac:dyDescent="0.4">
      <c r="A20" s="389" t="s">
        <v>58</v>
      </c>
      <c r="B20" s="389"/>
      <c r="C20" s="389"/>
      <c r="D20" s="389"/>
      <c r="E20" s="389"/>
      <c r="F20" s="389"/>
      <c r="G20" s="389"/>
      <c r="H20" s="389"/>
      <c r="I20" s="389"/>
      <c r="J20" s="389"/>
    </row>
    <row r="21" spans="1:10" ht="15.45" x14ac:dyDescent="0.4">
      <c r="A21" s="310" t="s">
        <v>59</v>
      </c>
    </row>
    <row r="22" spans="1:10" x14ac:dyDescent="0.35">
      <c r="A22" s="312"/>
      <c r="B22" s="16"/>
      <c r="C22" s="16"/>
      <c r="D22" s="16"/>
      <c r="E22" s="16"/>
      <c r="F22" s="16"/>
      <c r="G22" s="16"/>
      <c r="H22" s="16"/>
      <c r="I22" s="16"/>
      <c r="J22" s="16"/>
    </row>
    <row r="23" spans="1:10" x14ac:dyDescent="0.35">
      <c r="A23" s="388" t="s">
        <v>60</v>
      </c>
      <c r="B23" s="388"/>
      <c r="C23" s="388"/>
      <c r="D23" s="388"/>
      <c r="E23" s="388"/>
      <c r="F23" s="16"/>
      <c r="G23" s="388" t="s">
        <v>63</v>
      </c>
      <c r="H23" s="388"/>
      <c r="I23" s="388"/>
      <c r="J23" s="16"/>
    </row>
    <row r="24" spans="1:10" ht="15" x14ac:dyDescent="0.35">
      <c r="A24" s="387" t="s">
        <v>61</v>
      </c>
      <c r="B24" s="387"/>
      <c r="C24" s="387"/>
      <c r="D24" s="387"/>
      <c r="E24" s="387"/>
      <c r="F24" s="16"/>
      <c r="G24" s="387" t="s">
        <v>62</v>
      </c>
      <c r="H24" s="387"/>
      <c r="I24" s="387"/>
      <c r="J24" s="16"/>
    </row>
    <row r="25" spans="1:10" hidden="1" x14ac:dyDescent="0.35">
      <c r="A25" s="16"/>
      <c r="B25" s="16"/>
      <c r="C25" s="16"/>
      <c r="D25" s="16"/>
      <c r="E25" s="16"/>
      <c r="F25" s="16"/>
      <c r="G25" s="16"/>
      <c r="H25" s="16"/>
      <c r="I25" s="16"/>
      <c r="J25" s="16"/>
    </row>
    <row r="26" spans="1:10" hidden="1" x14ac:dyDescent="0.35">
      <c r="A26" s="16"/>
      <c r="B26" s="16"/>
      <c r="C26" s="16"/>
      <c r="D26" s="16"/>
      <c r="E26" s="16"/>
      <c r="F26" s="16"/>
      <c r="G26" s="16"/>
      <c r="H26" s="16"/>
      <c r="I26" s="16"/>
    </row>
  </sheetData>
  <sheetProtection selectLockedCells="1"/>
  <mergeCells count="15">
    <mergeCell ref="A24:E24"/>
    <mergeCell ref="A23:E23"/>
    <mergeCell ref="G24:I24"/>
    <mergeCell ref="G23:I23"/>
    <mergeCell ref="A14:J14"/>
    <mergeCell ref="A16:J16"/>
    <mergeCell ref="A20:J20"/>
    <mergeCell ref="A7:J7"/>
    <mergeCell ref="A10:J10"/>
    <mergeCell ref="A12:J12"/>
    <mergeCell ref="A18:J18"/>
    <mergeCell ref="A1:J1"/>
    <mergeCell ref="A2:J2"/>
    <mergeCell ref="A3:J3"/>
    <mergeCell ref="A5:J5"/>
  </mergeCells>
  <phoneticPr fontId="16" type="noConversion"/>
  <pageMargins left="0.75" right="0.75" top="1" bottom="1" header="0.5" footer="0.5"/>
  <pageSetup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CACFP Worksheet</vt:lpstr>
      <vt:lpstr>Director Salary Scale</vt:lpstr>
      <vt:lpstr>Schedule A Personnel</vt:lpstr>
      <vt:lpstr>Provider Planning Budget</vt:lpstr>
      <vt:lpstr>Provider Statement of Assurance</vt:lpstr>
      <vt:lpstr>'Provider Statement of Assurance'!_Toc525550260</vt:lpstr>
      <vt:lpstr>'Provider Planning Budget'!Print_Area</vt:lpstr>
      <vt:lpstr>'Schedule A Personnel'!Print_Area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Garver, Karin</dc:creator>
  <cp:lastModifiedBy>Grace Reef</cp:lastModifiedBy>
  <cp:lastPrinted>2021-09-29T13:31:19Z</cp:lastPrinted>
  <dcterms:created xsi:type="dcterms:W3CDTF">2001-06-25T18:23:16Z</dcterms:created>
  <dcterms:modified xsi:type="dcterms:W3CDTF">2025-05-09T20:40:46Z</dcterms:modified>
</cp:coreProperties>
</file>