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ocuments\naccrra 2011\CED 2013\Coronavirus Emergency\New Jersey\2024-2025 CCANJ Planning\2025 Mapping\NJ DOE Data\"/>
    </mc:Choice>
  </mc:AlternateContent>
  <xr:revisionPtr revIDLastSave="0" documentId="13_ncr:1_{F430B73F-2D04-49B5-9972-5ECFFAE6F83A}" xr6:coauthVersionLast="47" xr6:coauthVersionMax="47" xr10:uidLastSave="{00000000-0000-0000-0000-000000000000}"/>
  <bookViews>
    <workbookView xWindow="60" yWindow="0" windowWidth="26271" windowHeight="15737" xr2:uid="{F894CCFC-7C85-45AB-9EB9-1439F8CA6802}"/>
  </bookViews>
  <sheets>
    <sheet name="NJPubSchool April 2025" sheetId="1" r:id="rId1"/>
  </sheets>
  <definedNames>
    <definedName name="_xlnm._FilterDatabase" localSheetId="0" hidden="1">'NJPubSchool April 2025'!$A$1:$O$1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1" i="1" l="1"/>
  <c r="G82" i="1"/>
  <c r="G185" i="1"/>
  <c r="G549" i="1"/>
  <c r="G616" i="1"/>
  <c r="G652" i="1"/>
  <c r="G732" i="1"/>
  <c r="G778" i="1"/>
  <c r="G786" i="1"/>
  <c r="G30" i="1"/>
  <c r="G80" i="1"/>
  <c r="G140" i="1"/>
  <c r="G372" i="1"/>
  <c r="G114" i="1"/>
  <c r="G41" i="1"/>
  <c r="G744" i="1"/>
  <c r="G230" i="1"/>
  <c r="G244" i="1"/>
  <c r="G28" i="1"/>
  <c r="G628" i="1"/>
  <c r="G649" i="1"/>
  <c r="G668" i="1"/>
  <c r="G720" i="1"/>
  <c r="G388" i="1"/>
  <c r="G851" i="1"/>
  <c r="G316" i="1"/>
  <c r="G706" i="1"/>
  <c r="G537" i="1"/>
  <c r="G567" i="1"/>
  <c r="G422" i="1"/>
  <c r="G565" i="1"/>
  <c r="G625" i="1"/>
  <c r="G726" i="1"/>
  <c r="G170" i="1"/>
  <c r="G787" i="1"/>
  <c r="G843" i="1"/>
  <c r="G34" i="1"/>
  <c r="G172" i="1"/>
  <c r="G538" i="1"/>
  <c r="G540" i="1"/>
  <c r="G258" i="1"/>
  <c r="G343" i="1"/>
  <c r="G428" i="1"/>
  <c r="G812" i="1"/>
  <c r="G202" i="1"/>
  <c r="G425" i="1"/>
  <c r="G96" i="1"/>
  <c r="G692" i="1"/>
  <c r="G217" i="1"/>
  <c r="G157" i="1"/>
  <c r="G429" i="1"/>
  <c r="G707" i="1"/>
  <c r="G488" i="1"/>
  <c r="G289" i="1"/>
  <c r="G718" i="1"/>
  <c r="G503" i="1"/>
  <c r="G561" i="1"/>
  <c r="G181" i="1"/>
  <c r="G840" i="1"/>
  <c r="G440" i="1"/>
  <c r="G578" i="1"/>
  <c r="G702" i="1"/>
  <c r="G143" i="1"/>
  <c r="G337" i="1"/>
  <c r="G875" i="1"/>
  <c r="G6" i="1"/>
  <c r="G125" i="1"/>
  <c r="G278" i="1"/>
  <c r="G281" i="1"/>
  <c r="G282" i="1"/>
  <c r="G365" i="1"/>
  <c r="G681" i="1"/>
  <c r="G823" i="1"/>
  <c r="G104" i="1"/>
  <c r="G236" i="1"/>
  <c r="G237" i="1"/>
  <c r="G362" i="1"/>
  <c r="G544" i="1"/>
  <c r="G322" i="1"/>
  <c r="G233" i="1"/>
  <c r="G430" i="1"/>
  <c r="G328" i="1"/>
  <c r="G493" i="1"/>
  <c r="G25" i="1"/>
  <c r="G813" i="1"/>
  <c r="G145" i="1"/>
  <c r="G338" i="1"/>
  <c r="G677" i="1"/>
  <c r="G824" i="1"/>
  <c r="G856" i="1"/>
  <c r="G146" i="1"/>
  <c r="G504" i="1"/>
  <c r="G678" i="1"/>
  <c r="G825" i="1"/>
  <c r="G290" i="1"/>
  <c r="G505" i="1"/>
  <c r="G299" i="1"/>
  <c r="G496" i="1"/>
  <c r="G663" i="1"/>
  <c r="G65" i="1"/>
  <c r="G67" i="1"/>
  <c r="G169" i="1"/>
  <c r="G255" i="1"/>
  <c r="G285" i="1"/>
  <c r="G558" i="1"/>
  <c r="G741" i="1"/>
  <c r="G566" i="1"/>
  <c r="G568" i="1"/>
  <c r="G569" i="1"/>
  <c r="G768" i="1"/>
  <c r="G747" i="1"/>
  <c r="G116" i="1"/>
  <c r="G497" i="1"/>
  <c r="G600" i="1"/>
  <c r="G607" i="1"/>
  <c r="G838" i="1"/>
  <c r="G479" i="1"/>
  <c r="G832" i="1"/>
  <c r="G431" i="1"/>
  <c r="G670" i="1"/>
  <c r="G709" i="1"/>
  <c r="G296" i="1"/>
  <c r="G679" i="1"/>
  <c r="G515" i="1"/>
  <c r="G826" i="1"/>
  <c r="G827" i="1"/>
  <c r="G804" i="1"/>
  <c r="G487" i="1"/>
  <c r="G506" i="1"/>
  <c r="G757" i="1"/>
  <c r="G850" i="1"/>
  <c r="G801" i="1"/>
  <c r="G659" i="1"/>
  <c r="G393" i="1"/>
  <c r="G367" i="1"/>
  <c r="G814" i="1"/>
  <c r="G842" i="1"/>
  <c r="G98" i="1"/>
  <c r="G183" i="1"/>
  <c r="G286" i="1"/>
  <c r="G715" i="1"/>
  <c r="G70" i="1"/>
  <c r="G129" i="1"/>
  <c r="G618" i="1"/>
  <c r="G685" i="1"/>
  <c r="G839" i="1"/>
  <c r="G37" i="1"/>
  <c r="G120" i="1"/>
  <c r="G127" i="1"/>
  <c r="G798" i="1"/>
  <c r="G211" i="1"/>
  <c r="G519" i="1"/>
  <c r="G651" i="1"/>
  <c r="G243" i="1"/>
  <c r="G667" i="1"/>
  <c r="G313" i="1"/>
  <c r="G29" i="1"/>
  <c r="G381" i="1"/>
  <c r="G349" i="1"/>
  <c r="G108" i="1"/>
  <c r="G159" i="1"/>
  <c r="G401" i="1"/>
  <c r="G495" i="1"/>
  <c r="G525" i="1"/>
  <c r="G749" i="1"/>
  <c r="G481" i="1"/>
  <c r="G371" i="1"/>
  <c r="G240" i="1"/>
  <c r="G415" i="1"/>
  <c r="G608" i="1"/>
  <c r="G735" i="1"/>
  <c r="G548" i="1"/>
  <c r="G131" i="1"/>
  <c r="G227" i="1"/>
  <c r="G175" i="1"/>
  <c r="G248" i="1"/>
  <c r="G614" i="1"/>
  <c r="G748" i="1"/>
  <c r="G342" i="1"/>
  <c r="G279" i="1"/>
  <c r="G361" i="1"/>
  <c r="G117" i="1"/>
  <c r="G31" i="1"/>
  <c r="G327" i="1"/>
  <c r="G55" i="1"/>
  <c r="G66" i="1"/>
  <c r="G373" i="1"/>
  <c r="G18" i="1"/>
  <c r="G154" i="1"/>
  <c r="G193" i="1"/>
  <c r="G475" i="1"/>
  <c r="G590" i="1"/>
  <c r="G655" i="1"/>
  <c r="G762" i="1"/>
  <c r="G789" i="1"/>
  <c r="G877" i="1"/>
  <c r="G231" i="1"/>
  <c r="G133" i="1"/>
  <c r="G141" i="1"/>
  <c r="G142" i="1"/>
  <c r="G764" i="1"/>
  <c r="G878" i="1"/>
  <c r="G292" i="1"/>
  <c r="G139" i="1"/>
  <c r="G24" i="1"/>
  <c r="G121" i="1"/>
  <c r="G228" i="1"/>
  <c r="G295" i="1"/>
  <c r="G298" i="1"/>
  <c r="G366" i="1"/>
  <c r="G773" i="1"/>
  <c r="G105" i="1"/>
  <c r="G417" i="1"/>
  <c r="G441" i="1"/>
  <c r="G456" i="1"/>
  <c r="G510" i="1"/>
  <c r="G480" i="1"/>
  <c r="G645" i="1"/>
  <c r="G580" i="1"/>
  <c r="G38" i="1"/>
  <c r="G62" i="1"/>
  <c r="G187" i="1"/>
  <c r="G379" i="1"/>
  <c r="G19" i="1"/>
  <c r="G482" i="1"/>
  <c r="G605" i="1"/>
  <c r="G402" i="1"/>
  <c r="G763" i="1"/>
  <c r="G859" i="1"/>
  <c r="G860" i="1"/>
  <c r="G861" i="1"/>
  <c r="G862" i="1"/>
  <c r="G863" i="1"/>
  <c r="G867" i="1"/>
  <c r="G35" i="1"/>
  <c r="G94" i="1"/>
  <c r="G583" i="1"/>
  <c r="G177" i="1"/>
  <c r="G95" i="1"/>
  <c r="G168" i="1"/>
  <c r="G513" i="1"/>
  <c r="G467" i="1"/>
  <c r="G586" i="1"/>
  <c r="G777" i="1"/>
  <c r="G297" i="1"/>
  <c r="G162" i="1"/>
  <c r="G865" i="1"/>
  <c r="G92" i="1"/>
  <c r="G149" i="1"/>
  <c r="G301" i="1"/>
  <c r="G369" i="1"/>
  <c r="G385" i="1"/>
  <c r="G472" i="1"/>
  <c r="G550" i="1"/>
  <c r="G620" i="1"/>
  <c r="G646" i="1"/>
  <c r="G754" i="1"/>
  <c r="G420" i="1"/>
  <c r="G793" i="1"/>
  <c r="G291" i="1"/>
  <c r="G637" i="1"/>
  <c r="G147" i="1"/>
  <c r="G174" i="1"/>
  <c r="G184" i="1"/>
  <c r="G235" i="1"/>
  <c r="G531" i="1"/>
  <c r="G344" i="1"/>
  <c r="G539" i="1"/>
  <c r="G486" i="1"/>
  <c r="G122" i="1"/>
  <c r="G738" i="1"/>
  <c r="G112" i="1"/>
  <c r="G97" i="1"/>
  <c r="G50" i="1"/>
  <c r="G51" i="1"/>
  <c r="G52" i="1"/>
  <c r="G53" i="1"/>
  <c r="G54" i="1"/>
  <c r="G347" i="1"/>
  <c r="G259" i="1"/>
  <c r="G753" i="1"/>
  <c r="G324" i="1"/>
  <c r="G432" i="1"/>
  <c r="G815" i="1"/>
  <c r="G564" i="1"/>
  <c r="G723" i="1"/>
  <c r="G23" i="1"/>
  <c r="G61" i="1"/>
  <c r="G126" i="1"/>
  <c r="G180" i="1"/>
  <c r="G213" i="1"/>
  <c r="G218" i="1"/>
  <c r="G300" i="1"/>
  <c r="G358" i="1"/>
  <c r="G413" i="1"/>
  <c r="G518" i="1"/>
  <c r="G712" i="1"/>
  <c r="G794" i="1"/>
  <c r="G848" i="1"/>
  <c r="G13" i="1"/>
  <c r="G106" i="1"/>
  <c r="G245" i="1"/>
  <c r="G32" i="1"/>
  <c r="G64" i="1"/>
  <c r="G307" i="1"/>
  <c r="G453" i="1"/>
  <c r="G536" i="1"/>
  <c r="G766" i="1"/>
  <c r="G774" i="1"/>
  <c r="G87" i="1"/>
  <c r="G727" i="1"/>
  <c r="G828" i="1"/>
  <c r="G555" i="1"/>
  <c r="G5" i="1"/>
  <c r="G36" i="1"/>
  <c r="G57" i="1"/>
  <c r="G78" i="1"/>
  <c r="G85" i="1"/>
  <c r="G91" i="1"/>
  <c r="G109" i="1"/>
  <c r="G191" i="1"/>
  <c r="G200" i="1"/>
  <c r="G210" i="1"/>
  <c r="G224" i="1"/>
  <c r="G239" i="1"/>
  <c r="G249" i="1"/>
  <c r="G260" i="1"/>
  <c r="G284" i="1"/>
  <c r="G308" i="1"/>
  <c r="G321" i="1"/>
  <c r="G329" i="1"/>
  <c r="G357" i="1"/>
  <c r="G406" i="1"/>
  <c r="G433" i="1"/>
  <c r="G446" i="1"/>
  <c r="G449" i="1"/>
  <c r="G490" i="1"/>
  <c r="G512" i="1"/>
  <c r="G534" i="1"/>
  <c r="G545" i="1"/>
  <c r="G594" i="1"/>
  <c r="G603" i="1"/>
  <c r="G617" i="1"/>
  <c r="G639" i="1"/>
  <c r="G642" i="1"/>
  <c r="G653" i="1"/>
  <c r="G665" i="1"/>
  <c r="G683" i="1"/>
  <c r="G717" i="1"/>
  <c r="G721" i="1"/>
  <c r="G730" i="1"/>
  <c r="G733" i="1"/>
  <c r="G742" i="1"/>
  <c r="G759" i="1"/>
  <c r="G734" i="1"/>
  <c r="G829" i="1"/>
  <c r="G247" i="1"/>
  <c r="G335" i="1"/>
  <c r="G582" i="1"/>
  <c r="G596" i="1"/>
  <c r="G601" i="1"/>
  <c r="G529" i="1"/>
  <c r="G246" i="1"/>
  <c r="G414" i="1"/>
  <c r="G68" i="1"/>
  <c r="G816" i="1"/>
  <c r="G837" i="1"/>
  <c r="G334" i="1"/>
  <c r="G103" i="1"/>
  <c r="G368" i="1"/>
  <c r="G33" i="1"/>
  <c r="G359" i="1"/>
  <c r="G39" i="1"/>
  <c r="G83" i="1"/>
  <c r="G325" i="1"/>
  <c r="G755" i="1"/>
  <c r="G360" i="1"/>
  <c r="G708" i="1"/>
  <c r="G341" i="1"/>
  <c r="G579" i="1"/>
  <c r="G640" i="1"/>
  <c r="G845" i="1"/>
  <c r="G542" i="1"/>
  <c r="G71" i="1"/>
  <c r="G498" i="1"/>
  <c r="G724" i="1"/>
  <c r="G465" i="1"/>
  <c r="G306" i="1"/>
  <c r="G305" i="1"/>
  <c r="G581" i="1"/>
  <c r="G647" i="1"/>
  <c r="G606" i="1"/>
  <c r="G234" i="1"/>
  <c r="G799" i="1"/>
  <c r="G834" i="1"/>
  <c r="G866" i="1"/>
  <c r="G332" i="1"/>
  <c r="G346" i="1"/>
  <c r="G383" i="1"/>
  <c r="G426" i="1"/>
  <c r="G483" i="1"/>
  <c r="G553" i="1"/>
  <c r="G619" i="1"/>
  <c r="G800" i="1"/>
  <c r="G810" i="1"/>
  <c r="G855" i="1"/>
  <c r="G870" i="1"/>
  <c r="G323" i="1"/>
  <c r="G396" i="1"/>
  <c r="G434" i="1"/>
  <c r="G796" i="1"/>
  <c r="G14" i="1"/>
  <c r="G17" i="1"/>
  <c r="G110" i="1"/>
  <c r="G111" i="1"/>
  <c r="G124" i="1"/>
  <c r="G156" i="1"/>
  <c r="G190" i="1"/>
  <c r="G196" i="1"/>
  <c r="G197" i="1"/>
  <c r="G199" i="1"/>
  <c r="G253" i="1"/>
  <c r="G294" i="1"/>
  <c r="G391" i="1"/>
  <c r="G394" i="1"/>
  <c r="G458" i="1"/>
  <c r="G476" i="1"/>
  <c r="G477" i="1"/>
  <c r="G554" i="1"/>
  <c r="G595" i="1"/>
  <c r="G611" i="1"/>
  <c r="G631" i="1"/>
  <c r="G641" i="1"/>
  <c r="G650" i="1"/>
  <c r="G849" i="1"/>
  <c r="G261" i="1"/>
  <c r="G280" i="1"/>
  <c r="G671" i="1"/>
  <c r="G705" i="1"/>
  <c r="G817" i="1"/>
  <c r="G262" i="1"/>
  <c r="G374" i="1"/>
  <c r="G435" i="1"/>
  <c r="G491" i="1"/>
  <c r="G2" i="1"/>
  <c r="G287" i="1"/>
  <c r="G350" i="1"/>
  <c r="G664" i="1"/>
  <c r="G758" i="1"/>
  <c r="G760" i="1"/>
  <c r="G788" i="1"/>
  <c r="G166" i="1"/>
  <c r="G205" i="1"/>
  <c r="G16" i="1"/>
  <c r="G761" i="1"/>
  <c r="G74" i="1"/>
  <c r="G89" i="1"/>
  <c r="G612" i="1"/>
  <c r="G736" i="1"/>
  <c r="G138" i="1"/>
  <c r="G176" i="1"/>
  <c r="G206" i="1"/>
  <c r="G42" i="1"/>
  <c r="G155" i="1"/>
  <c r="G251" i="1"/>
  <c r="G662" i="1"/>
  <c r="G270" i="1"/>
  <c r="G274" i="1"/>
  <c r="G317" i="1"/>
  <c r="G336" i="1"/>
  <c r="G340" i="1"/>
  <c r="G400" i="1"/>
  <c r="G421" i="1"/>
  <c r="G782" i="1"/>
  <c r="G520" i="1"/>
  <c r="G765" i="1"/>
  <c r="G846" i="1"/>
  <c r="G725" i="1"/>
  <c r="G833" i="1"/>
  <c r="G752" i="1"/>
  <c r="G772" i="1"/>
  <c r="G609" i="1"/>
  <c r="G853" i="1"/>
  <c r="G15" i="1"/>
  <c r="G775" i="1"/>
  <c r="G876" i="1"/>
  <c r="G47" i="1"/>
  <c r="G345" i="1"/>
  <c r="G59" i="1"/>
  <c r="G221" i="1"/>
  <c r="G418" i="1"/>
  <c r="G419" i="1"/>
  <c r="G719" i="1"/>
  <c r="G469" i="1"/>
  <c r="G389" i="1"/>
  <c r="G148" i="1"/>
  <c r="G386" i="1"/>
  <c r="G657" i="1"/>
  <c r="G629" i="1"/>
  <c r="G711" i="1"/>
  <c r="G263" i="1"/>
  <c r="G288" i="1"/>
  <c r="G485" i="1"/>
  <c r="G769" i="1"/>
  <c r="G144" i="1"/>
  <c r="G541" i="1"/>
  <c r="G634" i="1"/>
  <c r="G160" i="1"/>
  <c r="G384" i="1"/>
  <c r="G76" i="1"/>
  <c r="G123" i="1"/>
  <c r="G275" i="1"/>
  <c r="G355" i="1"/>
  <c r="G499" i="1"/>
  <c r="G63" i="1"/>
  <c r="G214" i="1"/>
  <c r="G256" i="1"/>
  <c r="G436" i="1"/>
  <c r="G818" i="1"/>
  <c r="G9" i="1"/>
  <c r="G81" i="1"/>
  <c r="G100" i="1"/>
  <c r="G354" i="1"/>
  <c r="G376" i="1"/>
  <c r="G517" i="1"/>
  <c r="G330" i="1"/>
  <c r="G604" i="1"/>
  <c r="G40" i="1"/>
  <c r="G4" i="1"/>
  <c r="G437" i="1"/>
  <c r="G445" i="1"/>
  <c r="G489" i="1"/>
  <c r="G613" i="1"/>
  <c r="G672" i="1"/>
  <c r="G871" i="1"/>
  <c r="G27" i="1"/>
  <c r="G370" i="1"/>
  <c r="G444" i="1"/>
  <c r="G560" i="1"/>
  <c r="G610" i="1"/>
  <c r="G500" i="1"/>
  <c r="G731" i="1"/>
  <c r="G216" i="1"/>
  <c r="G352" i="1"/>
  <c r="G624" i="1"/>
  <c r="G118" i="1"/>
  <c r="G635" i="1"/>
  <c r="G872" i="1"/>
  <c r="G722" i="1"/>
  <c r="G84" i="1"/>
  <c r="G86" i="1"/>
  <c r="G153" i="1"/>
  <c r="G171" i="1"/>
  <c r="G173" i="1"/>
  <c r="G304" i="1"/>
  <c r="G527" i="1"/>
  <c r="G264" i="1"/>
  <c r="G375" i="1"/>
  <c r="G673" i="1"/>
  <c r="G676" i="1"/>
  <c r="G728" i="1"/>
  <c r="G729" i="1"/>
  <c r="G276" i="1"/>
  <c r="G398" i="1"/>
  <c r="G404" i="1"/>
  <c r="G450" i="1"/>
  <c r="G484" i="1"/>
  <c r="G767" i="1"/>
  <c r="G56" i="1"/>
  <c r="G77" i="1"/>
  <c r="G152" i="1"/>
  <c r="G466" i="1"/>
  <c r="G494" i="1"/>
  <c r="G868" i="1"/>
  <c r="G238" i="1"/>
  <c r="G273" i="1"/>
  <c r="G602" i="1"/>
  <c r="G204" i="1"/>
  <c r="G836" i="1"/>
  <c r="G746" i="1"/>
  <c r="G791" i="1"/>
  <c r="G12" i="1"/>
  <c r="G501" i="1"/>
  <c r="G551" i="1"/>
  <c r="G395" i="1"/>
  <c r="G399" i="1"/>
  <c r="G390" i="1"/>
  <c r="G423" i="1"/>
  <c r="G530" i="1"/>
  <c r="G627" i="1"/>
  <c r="G382" i="1"/>
  <c r="G459" i="1"/>
  <c r="G167" i="1"/>
  <c r="G90" i="1"/>
  <c r="G134" i="1"/>
  <c r="G644" i="1"/>
  <c r="G739" i="1"/>
  <c r="G320" i="1"/>
  <c r="G514" i="1"/>
  <c r="G585" i="1"/>
  <c r="G522" i="1"/>
  <c r="G526" i="1"/>
  <c r="G869" i="1"/>
  <c r="G277" i="1"/>
  <c r="G302" i="1"/>
  <c r="G516" i="1"/>
  <c r="G710" i="1"/>
  <c r="G740" i="1"/>
  <c r="G864" i="1"/>
  <c r="G648" i="1"/>
  <c r="G714" i="1"/>
  <c r="G312" i="1"/>
  <c r="G457" i="1"/>
  <c r="G589" i="1"/>
  <c r="G802" i="1"/>
  <c r="G831" i="1"/>
  <c r="G507" i="1"/>
  <c r="G552" i="1"/>
  <c r="G795" i="1"/>
  <c r="G69" i="1"/>
  <c r="G75" i="1"/>
  <c r="G380" i="1"/>
  <c r="G704" i="1"/>
  <c r="G666" i="1"/>
  <c r="G179" i="1"/>
  <c r="G10" i="1"/>
  <c r="G207" i="1"/>
  <c r="G562" i="1"/>
  <c r="G252" i="1"/>
  <c r="G49" i="1"/>
  <c r="G158" i="1"/>
  <c r="G223" i="1"/>
  <c r="G439" i="1"/>
  <c r="G293" i="1"/>
  <c r="G102" i="1"/>
  <c r="G339" i="1"/>
  <c r="G509" i="1"/>
  <c r="G93" i="1"/>
  <c r="G783" i="1"/>
  <c r="G533" i="1"/>
  <c r="G405" i="1"/>
  <c r="G743" i="1"/>
  <c r="G215" i="1"/>
  <c r="G408" i="1"/>
  <c r="G546" i="1"/>
  <c r="G212" i="1"/>
  <c r="G409" i="1"/>
  <c r="G559" i="1"/>
  <c r="G101" i="1"/>
  <c r="G656" i="1"/>
  <c r="G438" i="1"/>
  <c r="G72" i="1"/>
  <c r="G265" i="1"/>
  <c r="G397" i="1"/>
  <c r="G556" i="1"/>
  <c r="G524" i="1"/>
  <c r="G808" i="1"/>
  <c r="G60" i="1"/>
  <c r="G241" i="1"/>
  <c r="G592" i="1"/>
  <c r="G470" i="1"/>
  <c r="G424" i="1"/>
  <c r="G46" i="1"/>
  <c r="G45" i="1"/>
  <c r="G128" i="1"/>
  <c r="G310" i="1"/>
  <c r="G333" i="1"/>
  <c r="G807" i="1"/>
  <c r="G203" i="1"/>
  <c r="G356" i="1"/>
  <c r="G161" i="1"/>
  <c r="G226" i="1"/>
  <c r="G348" i="1"/>
  <c r="G363" i="1"/>
  <c r="G448" i="1"/>
  <c r="G745" i="1"/>
  <c r="G521" i="1"/>
  <c r="G410" i="1"/>
  <c r="G411" i="1"/>
  <c r="G623" i="1"/>
  <c r="G416" i="1"/>
  <c r="G658" i="1"/>
  <c r="G232" i="1"/>
  <c r="G460" i="1"/>
  <c r="G461" i="1"/>
  <c r="G654" i="1"/>
  <c r="G847" i="1"/>
  <c r="G587" i="1"/>
  <c r="G806" i="1"/>
  <c r="G547" i="1"/>
  <c r="G543" i="1"/>
  <c r="G588" i="1"/>
  <c r="G351" i="1"/>
  <c r="G584" i="1"/>
  <c r="G599" i="1"/>
  <c r="G669" i="1"/>
  <c r="G99" i="1"/>
  <c r="G208" i="1"/>
  <c r="G563" i="1"/>
  <c r="G716" i="1"/>
  <c r="G771" i="1"/>
  <c r="G474" i="1"/>
  <c r="G684" i="1"/>
  <c r="G136" i="1"/>
  <c r="G137" i="1"/>
  <c r="G687" i="1"/>
  <c r="G688" i="1"/>
  <c r="G689" i="1"/>
  <c r="G690" i="1"/>
  <c r="G691" i="1"/>
  <c r="G693" i="1"/>
  <c r="G314" i="1"/>
  <c r="G674" i="1"/>
  <c r="G819" i="1"/>
  <c r="G442" i="1"/>
  <c r="G502" i="1"/>
  <c r="G7" i="1"/>
  <c r="G471" i="1"/>
  <c r="G478" i="1"/>
  <c r="G682" i="1"/>
  <c r="G792" i="1"/>
  <c r="G26" i="1"/>
  <c r="G113" i="1"/>
  <c r="G165" i="1"/>
  <c r="G192" i="1"/>
  <c r="G195" i="1"/>
  <c r="G220" i="1"/>
  <c r="G694" i="1"/>
  <c r="G695" i="1"/>
  <c r="G696" i="1"/>
  <c r="G697" i="1"/>
  <c r="G698" i="1"/>
  <c r="G699" i="1"/>
  <c r="G700" i="1"/>
  <c r="G701" i="1"/>
  <c r="G636" i="1"/>
  <c r="G660" i="1"/>
  <c r="G508" i="1"/>
  <c r="G803" i="1"/>
  <c r="G377" i="1"/>
  <c r="G630" i="1"/>
  <c r="G464" i="1"/>
  <c r="G115" i="1"/>
  <c r="G703" i="1"/>
  <c r="G21" i="1"/>
  <c r="G462" i="1"/>
  <c r="G593" i="1"/>
  <c r="G403" i="1"/>
  <c r="G615" i="1"/>
  <c r="G779" i="1"/>
  <c r="G557" i="1"/>
  <c r="G638" i="1"/>
  <c r="G378" i="1"/>
  <c r="G164" i="1"/>
  <c r="G447" i="1"/>
  <c r="G776" i="1"/>
  <c r="G854" i="1"/>
  <c r="G48" i="1"/>
  <c r="G532" i="1"/>
  <c r="G412" i="1"/>
  <c r="G11" i="1"/>
  <c r="G523" i="1"/>
  <c r="G130" i="1"/>
  <c r="G150" i="1"/>
  <c r="G222" i="1"/>
  <c r="G269" i="1"/>
  <c r="G452" i="1"/>
  <c r="G622" i="1"/>
  <c r="G353" i="1"/>
  <c r="G770" i="1"/>
  <c r="G874" i="1"/>
  <c r="G680" i="1"/>
  <c r="G841" i="1"/>
  <c r="G597" i="1"/>
  <c r="G209" i="1"/>
  <c r="G835" i="1"/>
  <c r="G473" i="1"/>
  <c r="G785" i="1"/>
  <c r="G107" i="1"/>
  <c r="G535" i="1"/>
  <c r="G44" i="1"/>
  <c r="G784" i="1"/>
  <c r="G242" i="1"/>
  <c r="G88" i="1"/>
  <c r="G254" i="1"/>
  <c r="G272" i="1"/>
  <c r="G303" i="1"/>
  <c r="G315" i="1"/>
  <c r="G468" i="1"/>
  <c r="G319" i="1"/>
  <c r="G201" i="1"/>
  <c r="G407" i="1"/>
  <c r="G528" i="1"/>
  <c r="G511" i="1"/>
  <c r="G591" i="1"/>
  <c r="G686" i="1"/>
  <c r="G331" i="1"/>
  <c r="G780" i="1"/>
  <c r="G737" i="1"/>
  <c r="G135" i="1"/>
  <c r="G805" i="1"/>
  <c r="G797" i="1"/>
  <c r="G132" i="1"/>
  <c r="G781" i="1"/>
  <c r="G119" i="1"/>
  <c r="G182" i="1"/>
  <c r="G186" i="1"/>
  <c r="G188" i="1"/>
  <c r="G194" i="1"/>
  <c r="G198" i="1"/>
  <c r="G225" i="1"/>
  <c r="G250" i="1"/>
  <c r="G283" i="1"/>
  <c r="G387" i="1"/>
  <c r="G392" i="1"/>
  <c r="G451" i="1"/>
  <c r="G455" i="1"/>
  <c r="G751" i="1"/>
  <c r="G3" i="1"/>
  <c r="G790" i="1"/>
  <c r="G852" i="1"/>
  <c r="G857" i="1"/>
  <c r="G873" i="1"/>
  <c r="G830" i="1"/>
  <c r="G8" i="1"/>
  <c r="G570" i="1"/>
  <c r="G571" i="1"/>
  <c r="G572" i="1"/>
  <c r="G573" i="1"/>
  <c r="G574" i="1"/>
  <c r="G575" i="1"/>
  <c r="G576" i="1"/>
  <c r="G577" i="1"/>
  <c r="G178" i="1"/>
  <c r="G20" i="1"/>
  <c r="G809" i="1"/>
  <c r="G266" i="1"/>
  <c r="G309" i="1"/>
  <c r="G454" i="1"/>
  <c r="G643" i="1"/>
  <c r="G675" i="1"/>
  <c r="G229" i="1"/>
  <c r="G661" i="1"/>
  <c r="G713" i="1"/>
  <c r="G189" i="1"/>
  <c r="G820" i="1"/>
  <c r="G219" i="1"/>
  <c r="G364" i="1"/>
  <c r="G756" i="1"/>
  <c r="G267" i="1"/>
  <c r="G632" i="1"/>
  <c r="G633" i="1"/>
  <c r="G821" i="1"/>
  <c r="G43" i="1"/>
  <c r="G151" i="1"/>
  <c r="G257" i="1"/>
  <c r="G318" i="1"/>
  <c r="G443" i="1"/>
  <c r="G811" i="1"/>
  <c r="G163" i="1"/>
  <c r="G268" i="1"/>
  <c r="G427" i="1"/>
  <c r="G492" i="1"/>
  <c r="G822" i="1"/>
  <c r="G858" i="1"/>
  <c r="G22" i="1"/>
  <c r="G58" i="1"/>
  <c r="G73" i="1"/>
  <c r="G271" i="1"/>
  <c r="G326" i="1"/>
  <c r="G463" i="1"/>
  <c r="G598" i="1"/>
  <c r="G621" i="1"/>
  <c r="G626" i="1"/>
  <c r="G750" i="1"/>
  <c r="G79" i="1"/>
  <c r="G844" i="1"/>
</calcChain>
</file>

<file path=xl/sharedStrings.xml><?xml version="1.0" encoding="utf-8"?>
<sst xmlns="http://schemas.openxmlformats.org/spreadsheetml/2006/main" count="8777" uniqueCount="4714">
  <si>
    <t>District Name</t>
  </si>
  <si>
    <t>School Name</t>
  </si>
  <si>
    <t>Princ. First Name</t>
  </si>
  <si>
    <t>Princ. Last Name</t>
  </si>
  <si>
    <t>Princ. Title 2</t>
  </si>
  <si>
    <t>Princ. Email</t>
  </si>
  <si>
    <t>City</t>
  </si>
  <si>
    <t>State</t>
  </si>
  <si>
    <t>Zip</t>
  </si>
  <si>
    <t>Absecon Public Schools District</t>
  </si>
  <si>
    <t>Kevin</t>
  </si>
  <si>
    <t>Burns</t>
  </si>
  <si>
    <t>School Principal</t>
  </si>
  <si>
    <t>ABSECON</t>
  </si>
  <si>
    <t>NJ</t>
  </si>
  <si>
    <t>Jessica</t>
  </si>
  <si>
    <t>Kathleen</t>
  </si>
  <si>
    <t>H Ashton Marsh</t>
  </si>
  <si>
    <t>Leslie</t>
  </si>
  <si>
    <t>Schiavo</t>
  </si>
  <si>
    <t>lschiavo@abseconschools.org</t>
  </si>
  <si>
    <t>800 IRELAN AVE</t>
  </si>
  <si>
    <t>Mary</t>
  </si>
  <si>
    <t>Atlantic City School District</t>
  </si>
  <si>
    <t>Constance</t>
  </si>
  <si>
    <t>Atlantic City</t>
  </si>
  <si>
    <t>Kelly</t>
  </si>
  <si>
    <t>Bird</t>
  </si>
  <si>
    <t>Brighton Avenue School</t>
  </si>
  <si>
    <t>Jason</t>
  </si>
  <si>
    <t>Grimes</t>
  </si>
  <si>
    <t>jgrimes@acboe.org</t>
  </si>
  <si>
    <t>30 N. Brighton Avenue</t>
  </si>
  <si>
    <t>Lewis</t>
  </si>
  <si>
    <t>James</t>
  </si>
  <si>
    <t>Dr Martin Luther King Jr School Complex</t>
  </si>
  <si>
    <t>Jodi</t>
  </si>
  <si>
    <t>Burroughs</t>
  </si>
  <si>
    <t>jburroughs@acboe.org</t>
  </si>
  <si>
    <t>1700 Marmora Avenue</t>
  </si>
  <si>
    <t>Jennifer</t>
  </si>
  <si>
    <t>New York Avenue School</t>
  </si>
  <si>
    <t>Kendall</t>
  </si>
  <si>
    <t>Williams</t>
  </si>
  <si>
    <t>kwilliams@acboe.org</t>
  </si>
  <si>
    <t>411 N New York Avenue</t>
  </si>
  <si>
    <t>Pennsylvania Ave School</t>
  </si>
  <si>
    <t>Thomas</t>
  </si>
  <si>
    <t>Biggins</t>
  </si>
  <si>
    <t>tbiggins@acboe.org</t>
  </si>
  <si>
    <t>201 N. Pennsylvania Avenue</t>
  </si>
  <si>
    <t>Richmond Avenue School</t>
  </si>
  <si>
    <t>Shontai</t>
  </si>
  <si>
    <t>Nicholson</t>
  </si>
  <si>
    <t>snicholson@acboe.org</t>
  </si>
  <si>
    <t>4115 Ventnor Avenue</t>
  </si>
  <si>
    <t>Ryan</t>
  </si>
  <si>
    <t>Sovereign Avenue School</t>
  </si>
  <si>
    <t>Nicole</t>
  </si>
  <si>
    <t>nwilliams@acboe.org</t>
  </si>
  <si>
    <t>111 N. Sovereign Avenue</t>
  </si>
  <si>
    <t>Uptown School Complex</t>
  </si>
  <si>
    <t>Ananda</t>
  </si>
  <si>
    <t>Davis-Wright</t>
  </si>
  <si>
    <t>adavis@acboe.org</t>
  </si>
  <si>
    <t>323 Madison Avenue</t>
  </si>
  <si>
    <t>Venice Park School</t>
  </si>
  <si>
    <t>1601 N Penrose Avenue</t>
  </si>
  <si>
    <t>Atlantic County Special Services School District</t>
  </si>
  <si>
    <t>Atlantic County Elementary and Middle Schools</t>
  </si>
  <si>
    <t>Brian</t>
  </si>
  <si>
    <t>Kern</t>
  </si>
  <si>
    <t>bkern@acsssd.net</t>
  </si>
  <si>
    <t>4805 NAWAKWA BOULEVARD</t>
  </si>
  <si>
    <t>MAYS LANDING</t>
  </si>
  <si>
    <t>Sharon</t>
  </si>
  <si>
    <t>Warren</t>
  </si>
  <si>
    <t>Joseph</t>
  </si>
  <si>
    <t>Erin</t>
  </si>
  <si>
    <t>Brigantine Public School District</t>
  </si>
  <si>
    <t>Brigantine Community School</t>
  </si>
  <si>
    <t>Glenn</t>
  </si>
  <si>
    <t>Robbins</t>
  </si>
  <si>
    <t>grobbins@brigantineschools.org</t>
  </si>
  <si>
    <t>301 East Evans Blvd</t>
  </si>
  <si>
    <t>Brigantine</t>
  </si>
  <si>
    <t>Buena Regional School District</t>
  </si>
  <si>
    <t>Karen</t>
  </si>
  <si>
    <t>BUENA</t>
  </si>
  <si>
    <t>Collings Lakes Elementary School</t>
  </si>
  <si>
    <t>RICHARD</t>
  </si>
  <si>
    <t>LAWRENCE</t>
  </si>
  <si>
    <t>rlawrence@buena.k12.nj.us</t>
  </si>
  <si>
    <t>620 CAINS MILL RD  &amp; LAKE GEOR</t>
  </si>
  <si>
    <t>WILLIAMSTOWN</t>
  </si>
  <si>
    <t>KAREN</t>
  </si>
  <si>
    <t>John C. Milanesi Elementary School</t>
  </si>
  <si>
    <t>Jamie</t>
  </si>
  <si>
    <t>VanArtsdalen</t>
  </si>
  <si>
    <t>jvanartsdalen@BUENA.K12.NJ.US</t>
  </si>
  <si>
    <t>880 HARDING HIGHWAY</t>
  </si>
  <si>
    <t>Egg Harbor City School District</t>
  </si>
  <si>
    <t>Charles L. Spragg School</t>
  </si>
  <si>
    <t>Adrienne</t>
  </si>
  <si>
    <t>Shulby</t>
  </si>
  <si>
    <t>School Administrator</t>
  </si>
  <si>
    <t>ashulby@eggharborcityschools.com</t>
  </si>
  <si>
    <t>601 BUFFALO AVE</t>
  </si>
  <si>
    <t>EGG HARBOR CITY</t>
  </si>
  <si>
    <t>Tina</t>
  </si>
  <si>
    <t>Gina</t>
  </si>
  <si>
    <t>Egg Harbor Township School District</t>
  </si>
  <si>
    <t>Tatianna</t>
  </si>
  <si>
    <t>Cunningham</t>
  </si>
  <si>
    <t>EGG HARBOR TOWNSHIP</t>
  </si>
  <si>
    <t>Bargaintown Preschool</t>
  </si>
  <si>
    <t>Marinelli</t>
  </si>
  <si>
    <t>marinelj@eht.k12.nj.us</t>
  </si>
  <si>
    <t>3393 Bargaintown Road</t>
  </si>
  <si>
    <t>Egg Harbor Township</t>
  </si>
  <si>
    <t>White</t>
  </si>
  <si>
    <t>Blake</t>
  </si>
  <si>
    <t>Rosetti</t>
  </si>
  <si>
    <t>Jaclyn</t>
  </si>
  <si>
    <t>Frank</t>
  </si>
  <si>
    <t>Swift-Slaybaugh Complex</t>
  </si>
  <si>
    <t>Rachel</t>
  </si>
  <si>
    <t>Casumpang</t>
  </si>
  <si>
    <t>casumpangr@eht.k12.nj.us</t>
  </si>
  <si>
    <t>11 SWIFT AVENUE</t>
  </si>
  <si>
    <t>Estell Manor School District</t>
  </si>
  <si>
    <t>Estell Manor Elementary School</t>
  </si>
  <si>
    <t>David</t>
  </si>
  <si>
    <t>Ricci</t>
  </si>
  <si>
    <t>Chief School Administrator</t>
  </si>
  <si>
    <t>dricci@estellmanorschool.com</t>
  </si>
  <si>
    <t>128 CAPE MAY AVENUE</t>
  </si>
  <si>
    <t>ESTELL MANOR</t>
  </si>
  <si>
    <t>Sarah</t>
  </si>
  <si>
    <t>Foley</t>
  </si>
  <si>
    <t>Folsom Borough School District</t>
  </si>
  <si>
    <t>Folsom Elementary School</t>
  </si>
  <si>
    <t>Fricke</t>
  </si>
  <si>
    <t>kfricke@folsomschool.org</t>
  </si>
  <si>
    <t>1357 Mays Landing Road</t>
  </si>
  <si>
    <t>Folsom</t>
  </si>
  <si>
    <t>Angela</t>
  </si>
  <si>
    <t>Galloway Township Public School District</t>
  </si>
  <si>
    <t>Arthur Rann Elementary School</t>
  </si>
  <si>
    <t>McGloin</t>
  </si>
  <si>
    <t>mcgloink@gtps.k12.nj.us</t>
  </si>
  <si>
    <t>515 S EIGHTH AVE</t>
  </si>
  <si>
    <t>GALLOWAY</t>
  </si>
  <si>
    <t>Patricia</t>
  </si>
  <si>
    <t>Pomona Preschool</t>
  </si>
  <si>
    <t>Allison</t>
  </si>
  <si>
    <t>Russomanno</t>
  </si>
  <si>
    <t>russomannoa@gtps.k12.nj.us</t>
  </si>
  <si>
    <t>400 S  GENOA AVENUE</t>
  </si>
  <si>
    <t>EGG HARBOR</t>
  </si>
  <si>
    <t>Reeds Road Elementary School</t>
  </si>
  <si>
    <t>Donald</t>
  </si>
  <si>
    <t>Gross</t>
  </si>
  <si>
    <t>grossd@gtps.k12.nj.us</t>
  </si>
  <si>
    <t>103 SOUTH REEDS ROAD</t>
  </si>
  <si>
    <t>Lisa</t>
  </si>
  <si>
    <t>Roland Rogers Elementary School</t>
  </si>
  <si>
    <t>Lightcap</t>
  </si>
  <si>
    <t>lightcapk@gtps.k12.nj.us</t>
  </si>
  <si>
    <t>105 S  REEDS ROAD</t>
  </si>
  <si>
    <t>Smithville Elementary School</t>
  </si>
  <si>
    <t>Ragazzi</t>
  </si>
  <si>
    <t>ragazzid@gtps.k12.nj.us</t>
  </si>
  <si>
    <t>37 S  OLD PORT REPUBLIC ROAD</t>
  </si>
  <si>
    <t>Daniel</t>
  </si>
  <si>
    <t>Scott</t>
  </si>
  <si>
    <t>Michael</t>
  </si>
  <si>
    <t>Hamilton Township School District</t>
  </si>
  <si>
    <t>Laura</t>
  </si>
  <si>
    <t>Joseph C Shaner Memorial Elementary School</t>
  </si>
  <si>
    <t>Melanie</t>
  </si>
  <si>
    <t>Lamanteer</t>
  </si>
  <si>
    <t>lamanteerm@hamiltonschools.org</t>
  </si>
  <si>
    <t>5801 THIRD STREET</t>
  </si>
  <si>
    <t>William Davies Middle School</t>
  </si>
  <si>
    <t>Holmstrom</t>
  </si>
  <si>
    <t>holmstromj@hamiltonschools.org</t>
  </si>
  <si>
    <t>1876 DR  DENNIS FOREMAN DRIVE</t>
  </si>
  <si>
    <t>Hammonton School District</t>
  </si>
  <si>
    <t>Hammonton Early Childhood Educational Center</t>
  </si>
  <si>
    <t>Darla</t>
  </si>
  <si>
    <t>Salay</t>
  </si>
  <si>
    <t>dsalay@hammontonps.org</t>
  </si>
  <si>
    <t>601C NORTH 4TH STREET</t>
  </si>
  <si>
    <t>HAMMONTON</t>
  </si>
  <si>
    <t>Katelyn</t>
  </si>
  <si>
    <t>Kimberly</t>
  </si>
  <si>
    <t>Linwood City School District</t>
  </si>
  <si>
    <t>LINWOOD</t>
  </si>
  <si>
    <t>Melissa</t>
  </si>
  <si>
    <t>Seaview Elementary School</t>
  </si>
  <si>
    <t>Lori</t>
  </si>
  <si>
    <t>Care</t>
  </si>
  <si>
    <t>loricare@linwoodschools.org</t>
  </si>
  <si>
    <t>2015 WABASH AVE</t>
  </si>
  <si>
    <t>Samantha</t>
  </si>
  <si>
    <t>Jones</t>
  </si>
  <si>
    <t>Mullica Township School District</t>
  </si>
  <si>
    <t>Lynn</t>
  </si>
  <si>
    <t>500 ELWOOD ROAD</t>
  </si>
  <si>
    <t>ELWOOD</t>
  </si>
  <si>
    <t>Mullica Township Primary School</t>
  </si>
  <si>
    <t>Donna</t>
  </si>
  <si>
    <t>Lesher</t>
  </si>
  <si>
    <t>dlesher@mullicaschools.com</t>
  </si>
  <si>
    <t>Northfield City School District</t>
  </si>
  <si>
    <t>Northfield Community Elementary School</t>
  </si>
  <si>
    <t>Maureen</t>
  </si>
  <si>
    <t>Vaccaro</t>
  </si>
  <si>
    <t>mvaccaro@ncs-nj.org</t>
  </si>
  <si>
    <t>2000 NEW ROAD</t>
  </si>
  <si>
    <t>NORTHFIELD</t>
  </si>
  <si>
    <t>Pleasantville Public School District</t>
  </si>
  <si>
    <t>Leeds Avenue Elementary School</t>
  </si>
  <si>
    <t>Sherry</t>
  </si>
  <si>
    <t>Spence-Leslie</t>
  </si>
  <si>
    <t>spenceleslie.sherry@pps-nj.us</t>
  </si>
  <si>
    <t>100 W  LEEDS AVENUE</t>
  </si>
  <si>
    <t>PLEASANTVILLE</t>
  </si>
  <si>
    <t>North Main Street Elementary School</t>
  </si>
  <si>
    <t>Teresa</t>
  </si>
  <si>
    <t>McGaneyGuy</t>
  </si>
  <si>
    <t>McGaneyGuy.teresa@pps-nj.us</t>
  </si>
  <si>
    <t>215 NORTH MAIN STREET</t>
  </si>
  <si>
    <t>Mark</t>
  </si>
  <si>
    <t>Pleasantville High School</t>
  </si>
  <si>
    <t>Lapell</t>
  </si>
  <si>
    <t>Chapman</t>
  </si>
  <si>
    <t>chapman.lapell@pps-nj.us</t>
  </si>
  <si>
    <t>701 MILL ROAD</t>
  </si>
  <si>
    <t>Gillespie</t>
  </si>
  <si>
    <t>South Main Street Elementary School</t>
  </si>
  <si>
    <t>Rayna</t>
  </si>
  <si>
    <t>Hendricks</t>
  </si>
  <si>
    <t>Acting Principal</t>
  </si>
  <si>
    <t>hendricks.rayna@pps-nj.us</t>
  </si>
  <si>
    <t>701 SOUTH MAIN STREET</t>
  </si>
  <si>
    <t>Susan</t>
  </si>
  <si>
    <t>Amanda</t>
  </si>
  <si>
    <t>Somers Point School District</t>
  </si>
  <si>
    <t>Dawes Avenue Elementary School</t>
  </si>
  <si>
    <t>Wagner</t>
  </si>
  <si>
    <t>mwagner@sptsd.org</t>
  </si>
  <si>
    <t>22 W. Dawes Avenue</t>
  </si>
  <si>
    <t>Somers Point</t>
  </si>
  <si>
    <t>Julie</t>
  </si>
  <si>
    <t>Kenneth</t>
  </si>
  <si>
    <t>Ventnor City School District</t>
  </si>
  <si>
    <t>Ventnor Elementary School</t>
  </si>
  <si>
    <t>Carmela</t>
  </si>
  <si>
    <t>Somershoe</t>
  </si>
  <si>
    <t>csomershoe@veccnj.org</t>
  </si>
  <si>
    <t>400 N  LAFAYETTE AVENUE</t>
  </si>
  <si>
    <t>VENTNOR</t>
  </si>
  <si>
    <t>Jenna</t>
  </si>
  <si>
    <t>Anthony</t>
  </si>
  <si>
    <t>Weymouth Township School District</t>
  </si>
  <si>
    <t>Weymouth Township Elementary School</t>
  </si>
  <si>
    <t>Al</t>
  </si>
  <si>
    <t>alewis@weymouthtsd.org</t>
  </si>
  <si>
    <t>1202 ELEVENTH AVENUE</t>
  </si>
  <si>
    <t>DOROTHY</t>
  </si>
  <si>
    <t>Michelle</t>
  </si>
  <si>
    <t>Bruce</t>
  </si>
  <si>
    <t>Krista</t>
  </si>
  <si>
    <t>Bergen County Special Services School District</t>
  </si>
  <si>
    <t>Autistic Continuum</t>
  </si>
  <si>
    <t>Sandra</t>
  </si>
  <si>
    <t>Melicharek</t>
  </si>
  <si>
    <t>sanmel@bergen.org</t>
  </si>
  <si>
    <t>540 Farview Avenue</t>
  </si>
  <si>
    <t>Paramus</t>
  </si>
  <si>
    <t>Diaz</t>
  </si>
  <si>
    <t>Perez</t>
  </si>
  <si>
    <t>Erik</t>
  </si>
  <si>
    <t>Deaf and Hard of Hearing Continuum</t>
  </si>
  <si>
    <t>Rasheda</t>
  </si>
  <si>
    <t>Garcia</t>
  </si>
  <si>
    <t>rasgar@bergen.org</t>
  </si>
  <si>
    <t>Kristin</t>
  </si>
  <si>
    <t>Robert</t>
  </si>
  <si>
    <t>Katherine</t>
  </si>
  <si>
    <t>Multiple Disabilities Continuum</t>
  </si>
  <si>
    <t>Lopez</t>
  </si>
  <si>
    <t>kellope@bergen.org</t>
  </si>
  <si>
    <t>N. A. Bleshman Regional Day School</t>
  </si>
  <si>
    <t>Gail</t>
  </si>
  <si>
    <t>Coe</t>
  </si>
  <si>
    <t>gaicoe@bergen.org</t>
  </si>
  <si>
    <t>333 EAST RIDGEWOOD AVENUE</t>
  </si>
  <si>
    <t>PARAMUS</t>
  </si>
  <si>
    <t>Davis</t>
  </si>
  <si>
    <t>Dennis</t>
  </si>
  <si>
    <t>Nancy</t>
  </si>
  <si>
    <t>Andrea</t>
  </si>
  <si>
    <t>Sheridan</t>
  </si>
  <si>
    <t>Marie</t>
  </si>
  <si>
    <t>Lynch</t>
  </si>
  <si>
    <t>Bergenfield Borough School District</t>
  </si>
  <si>
    <t>BERGENFIELD</t>
  </si>
  <si>
    <t>Linda</t>
  </si>
  <si>
    <t>Franklin Elementary School</t>
  </si>
  <si>
    <t>Everett</t>
  </si>
  <si>
    <t>Thompson</t>
  </si>
  <si>
    <t>ethompson@bergenfield.org</t>
  </si>
  <si>
    <t>2 N  FRANKLIN AVENUE</t>
  </si>
  <si>
    <t>Hoover Elementary School</t>
  </si>
  <si>
    <t>William</t>
  </si>
  <si>
    <t>Fleming</t>
  </si>
  <si>
    <t>wfleming@bergenfield.org</t>
  </si>
  <si>
    <t>273 MURRAY HILL TERRACE</t>
  </si>
  <si>
    <t>Joann</t>
  </si>
  <si>
    <t>Stephanie</t>
  </si>
  <si>
    <t>Rossi</t>
  </si>
  <si>
    <t>Lincoln Elementary School</t>
  </si>
  <si>
    <t>Mitchel</t>
  </si>
  <si>
    <t>jmitchel@bergenfield.org</t>
  </si>
  <si>
    <t>115 HIGHVIEW AVENUE</t>
  </si>
  <si>
    <t>Washington Elementary School</t>
  </si>
  <si>
    <t>Lawrence</t>
  </si>
  <si>
    <t>tlawrence@bergenfield.org</t>
  </si>
  <si>
    <t>49 S  SUMMIT STREET</t>
  </si>
  <si>
    <t>Bogota Public School District</t>
  </si>
  <si>
    <t>BOGOTA</t>
  </si>
  <si>
    <t>Evan</t>
  </si>
  <si>
    <t>Christopher</t>
  </si>
  <si>
    <t>E. Roy Bixby</t>
  </si>
  <si>
    <t>Priscilla</t>
  </si>
  <si>
    <t>Ortiz</t>
  </si>
  <si>
    <t>portiz@bogotaboe.com</t>
  </si>
  <si>
    <t>25 FISCHER AVE</t>
  </si>
  <si>
    <t>Janine</t>
  </si>
  <si>
    <t>Martin</t>
  </si>
  <si>
    <t>Lillian M. Steen</t>
  </si>
  <si>
    <t>DeCongelio</t>
  </si>
  <si>
    <t>kdecongelio@bogotaboe.com</t>
  </si>
  <si>
    <t>134 W. Main</t>
  </si>
  <si>
    <t>Carlstadt Public School District</t>
  </si>
  <si>
    <t>Carlstadt Public School</t>
  </si>
  <si>
    <t>Schroback</t>
  </si>
  <si>
    <t>kschroback@carlstadtps.org</t>
  </si>
  <si>
    <t>550 WASHINGTON STREET</t>
  </si>
  <si>
    <t>CARLSTADT</t>
  </si>
  <si>
    <t>EAST RUTHERFORD</t>
  </si>
  <si>
    <t>Cliffside Park School District</t>
  </si>
  <si>
    <t>CLIFFSIDE PARK</t>
  </si>
  <si>
    <t>Schmitt</t>
  </si>
  <si>
    <t>Barbara</t>
  </si>
  <si>
    <t>Jill</t>
  </si>
  <si>
    <t>School #5</t>
  </si>
  <si>
    <t>Dana</t>
  </si>
  <si>
    <t>Martinotti</t>
  </si>
  <si>
    <t>dmartinotti@cliffsidepark.edu</t>
  </si>
  <si>
    <t>214 DAY AVE</t>
  </si>
  <si>
    <t>Amy</t>
  </si>
  <si>
    <t>Smith</t>
  </si>
  <si>
    <t>Christine</t>
  </si>
  <si>
    <t>Cresskill Public School District</t>
  </si>
  <si>
    <t>John</t>
  </si>
  <si>
    <t>Cristina</t>
  </si>
  <si>
    <t>Edward H. Bryan</t>
  </si>
  <si>
    <t>Dayle</t>
  </si>
  <si>
    <t>Collins</t>
  </si>
  <si>
    <t>dcollins@cresskillnj.net</t>
  </si>
  <si>
    <t>51 BROOKSIDE AVE</t>
  </si>
  <si>
    <t>CRESSKILL</t>
  </si>
  <si>
    <t>Danielle</t>
  </si>
  <si>
    <t>Demarest School District</t>
  </si>
  <si>
    <t>County Road School</t>
  </si>
  <si>
    <t>Mazzini</t>
  </si>
  <si>
    <t>mazzinif@nvnet.org</t>
  </si>
  <si>
    <t>130 COUNTY RD</t>
  </si>
  <si>
    <t>DEMAREST</t>
  </si>
  <si>
    <t>Veronica</t>
  </si>
  <si>
    <t>Sherri</t>
  </si>
  <si>
    <t>Dumont Public School District</t>
  </si>
  <si>
    <t>DUMONT</t>
  </si>
  <si>
    <t>Connelly</t>
  </si>
  <si>
    <t>Cheryl</t>
  </si>
  <si>
    <t>Luis</t>
  </si>
  <si>
    <t>llopez@dumontnj.org</t>
  </si>
  <si>
    <t>80 PROSPECT AVE</t>
  </si>
  <si>
    <t>Christie</t>
  </si>
  <si>
    <t>Selzer Elementary\Middle School</t>
  </si>
  <si>
    <t>DeSocio</t>
  </si>
  <si>
    <t>sdesocio@dumontnj.org</t>
  </si>
  <si>
    <t>435 PROSPECT AVE</t>
  </si>
  <si>
    <t>East Rutherford School District</t>
  </si>
  <si>
    <t>Renee</t>
  </si>
  <si>
    <t>Peter</t>
  </si>
  <si>
    <t>McKenzie School</t>
  </si>
  <si>
    <t>Barrow</t>
  </si>
  <si>
    <t>bbarrow@erboe.net</t>
  </si>
  <si>
    <t>125 CARLTON AVENUE</t>
  </si>
  <si>
    <t>Edgewater School District</t>
  </si>
  <si>
    <t>Michele</t>
  </si>
  <si>
    <t>Higgins</t>
  </si>
  <si>
    <t>George Washington School</t>
  </si>
  <si>
    <t>Billy</t>
  </si>
  <si>
    <t>bcunningham@edgewaterschools.org</t>
  </si>
  <si>
    <t>801 Undercliff Ave</t>
  </si>
  <si>
    <t>Edgewater</t>
  </si>
  <si>
    <t>Elmwood Park School District</t>
  </si>
  <si>
    <t>ELMWOOD PARK</t>
  </si>
  <si>
    <t>Sixteenth Avenue School</t>
  </si>
  <si>
    <t>Sharples</t>
  </si>
  <si>
    <t>dsharples@epps.org</t>
  </si>
  <si>
    <t>73 SIXTEENTH AVENUE</t>
  </si>
  <si>
    <t>Emerson Public School District</t>
  </si>
  <si>
    <t>Emerson</t>
  </si>
  <si>
    <t>Memorial School</t>
  </si>
  <si>
    <t>Gagliano</t>
  </si>
  <si>
    <t>kgagliano@emersonschools.org</t>
  </si>
  <si>
    <t>1 Haines Avenue</t>
  </si>
  <si>
    <t>Englewood Cliffs School District</t>
  </si>
  <si>
    <t>North Cliff School</t>
  </si>
  <si>
    <t>Colin</t>
  </si>
  <si>
    <t>Winch</t>
  </si>
  <si>
    <t>cwinch@englewoodcliffs.org</t>
  </si>
  <si>
    <t>700 FLOYD ST</t>
  </si>
  <si>
    <t>ENGLEWOOD CLIFFS</t>
  </si>
  <si>
    <t>Englewood Public School District</t>
  </si>
  <si>
    <t>Donald A. Quarles Early Childhood Center</t>
  </si>
  <si>
    <t>Arlene</t>
  </si>
  <si>
    <t>Ng</t>
  </si>
  <si>
    <t>ang@epsd.org</t>
  </si>
  <si>
    <t>186 Davison Place</t>
  </si>
  <si>
    <t>ENGLEWOOD</t>
  </si>
  <si>
    <t>Fair Lawn Public School District</t>
  </si>
  <si>
    <t>Paul</t>
  </si>
  <si>
    <t>FAIR LAWN</t>
  </si>
  <si>
    <t>Kerry</t>
  </si>
  <si>
    <t>Lindsay</t>
  </si>
  <si>
    <t>Murphy</t>
  </si>
  <si>
    <t>Suzanne</t>
  </si>
  <si>
    <t>Westmoreland Elementary School</t>
  </si>
  <si>
    <t>Dell Aglio</t>
  </si>
  <si>
    <t>cdellaglio@fairlawnschools.org</t>
  </si>
  <si>
    <t>16-50 Parmelee Ave.</t>
  </si>
  <si>
    <t>Fairview Public School District</t>
  </si>
  <si>
    <t>Betty</t>
  </si>
  <si>
    <t>FAIRVIEW</t>
  </si>
  <si>
    <t>Lincoln School Annex</t>
  </si>
  <si>
    <t>Scerbo</t>
  </si>
  <si>
    <t>vscerbo@fairviewps.org</t>
  </si>
  <si>
    <t>130 HAMILTON AVENUE</t>
  </si>
  <si>
    <t>Number Three School</t>
  </si>
  <si>
    <t>Maria</t>
  </si>
  <si>
    <t>Kushi</t>
  </si>
  <si>
    <t>mkushi@fairviewps.org</t>
  </si>
  <si>
    <t>403 CLIFF STREET</t>
  </si>
  <si>
    <t>Fort Lee School District</t>
  </si>
  <si>
    <t>Lauren</t>
  </si>
  <si>
    <t>FORT LEE</t>
  </si>
  <si>
    <t>Ruiz</t>
  </si>
  <si>
    <t>School No. 2</t>
  </si>
  <si>
    <t>Brennan</t>
  </si>
  <si>
    <t>jbrennan@flboe.com</t>
  </si>
  <si>
    <t>2047 JONES ROAD</t>
  </si>
  <si>
    <t>Glover</t>
  </si>
  <si>
    <t>Patrick</t>
  </si>
  <si>
    <t>Franklin Lakes School District</t>
  </si>
  <si>
    <t>Colonial Road School</t>
  </si>
  <si>
    <t>Gagliardo</t>
  </si>
  <si>
    <t>cgagliardo@franklinlakes.k12.nj.us</t>
  </si>
  <si>
    <t>749 Colonial Road</t>
  </si>
  <si>
    <t>Franklin Lakes</t>
  </si>
  <si>
    <t>Larson</t>
  </si>
  <si>
    <t>High Mountain Road School</t>
  </si>
  <si>
    <t>Bajzath</t>
  </si>
  <si>
    <t>jbajzath@franklinlakes.k12.nj.us</t>
  </si>
  <si>
    <t>765 High Mountain Road</t>
  </si>
  <si>
    <t>Woodside Avenue School</t>
  </si>
  <si>
    <t>Ann</t>
  </si>
  <si>
    <t>Jameson</t>
  </si>
  <si>
    <t>ajameson@franklinlakes.k12.nj.us</t>
  </si>
  <si>
    <t>305 Woodside Avenue</t>
  </si>
  <si>
    <t>Kate</t>
  </si>
  <si>
    <t>Garfield Public School District</t>
  </si>
  <si>
    <t>Abraham Lincoln School #6</t>
  </si>
  <si>
    <t>Elaine</t>
  </si>
  <si>
    <t>Mendez</t>
  </si>
  <si>
    <t>emendez@gboe.org</t>
  </si>
  <si>
    <t>111 PALISADE AVE</t>
  </si>
  <si>
    <t>GARFIELD</t>
  </si>
  <si>
    <t>Christopher Columbus School #8</t>
  </si>
  <si>
    <t>Mazzola</t>
  </si>
  <si>
    <t>kmazzola@gboe.org</t>
  </si>
  <si>
    <t>147 CEDAR STREET</t>
  </si>
  <si>
    <t>Garfield Early Childhood Learning Center</t>
  </si>
  <si>
    <t>Grillo</t>
  </si>
  <si>
    <t>ngrillo@gboe.org</t>
  </si>
  <si>
    <t>241 RAY STREET</t>
  </si>
  <si>
    <t>Richard</t>
  </si>
  <si>
    <t>Garfield Public Preschool 3 at Headstart</t>
  </si>
  <si>
    <t>Valerie</t>
  </si>
  <si>
    <t>Stewart</t>
  </si>
  <si>
    <t>vstewart@gboe.org</t>
  </si>
  <si>
    <t>541 Midland Ave</t>
  </si>
  <si>
    <t>Garfield</t>
  </si>
  <si>
    <t>Garfield Public Preschool Annex</t>
  </si>
  <si>
    <t>Nelke</t>
  </si>
  <si>
    <t>dnelke@gboe.org</t>
  </si>
  <si>
    <t>464 OUTWATER LANE</t>
  </si>
  <si>
    <t>James Madison School #10</t>
  </si>
  <si>
    <t>Alfonso</t>
  </si>
  <si>
    <t>jalfonso@gboe.org</t>
  </si>
  <si>
    <t>55 Lincoln Place</t>
  </si>
  <si>
    <t>Roosevelt School #7</t>
  </si>
  <si>
    <t>Charles</t>
  </si>
  <si>
    <t>Bonanno</t>
  </si>
  <si>
    <t>cbonanno@gboe.org</t>
  </si>
  <si>
    <t>225 LINCOLN PL</t>
  </si>
  <si>
    <t>Washington Irving School #4</t>
  </si>
  <si>
    <t>Jeffrey</t>
  </si>
  <si>
    <t>Wilson</t>
  </si>
  <si>
    <t>jwilson@gboe.org</t>
  </si>
  <si>
    <t>12 MADONNA PLACE</t>
  </si>
  <si>
    <t>Glen Rock Public School District</t>
  </si>
  <si>
    <t>GLEN ROCK</t>
  </si>
  <si>
    <t>Central School</t>
  </si>
  <si>
    <t>LaCroix</t>
  </si>
  <si>
    <t>lacroixk@glenrocknj.org</t>
  </si>
  <si>
    <t>600 S MAPLE AVE</t>
  </si>
  <si>
    <t>Diane</t>
  </si>
  <si>
    <t>Edward</t>
  </si>
  <si>
    <t>Hackensack School District</t>
  </si>
  <si>
    <t>Fairmount</t>
  </si>
  <si>
    <t>Eric</t>
  </si>
  <si>
    <t>Boateng</t>
  </si>
  <si>
    <t>eboateng@hackensackschools.org</t>
  </si>
  <si>
    <t>105 GRAND AVENUE</t>
  </si>
  <si>
    <t>HACKENSACK</t>
  </si>
  <si>
    <t>Fanny Meyer Hillers</t>
  </si>
  <si>
    <t>Judith</t>
  </si>
  <si>
    <t>Soto-Holland</t>
  </si>
  <si>
    <t>jsoto-holland@hackensackschools.org</t>
  </si>
  <si>
    <t>56 LONGVIEW AVENUE</t>
  </si>
  <si>
    <t>Edwards</t>
  </si>
  <si>
    <t>Heather</t>
  </si>
  <si>
    <t>Coleman</t>
  </si>
  <si>
    <t>Jackson Avenue</t>
  </si>
  <si>
    <t>Moran</t>
  </si>
  <si>
    <t>cmoran@hackensackschools.org</t>
  </si>
  <si>
    <t>421 JACKSON AVE</t>
  </si>
  <si>
    <t>Nellie K. Parker</t>
  </si>
  <si>
    <t>Lillian</t>
  </si>
  <si>
    <t>Whitaker</t>
  </si>
  <si>
    <t>lwhitaker@hackensackschools.org</t>
  </si>
  <si>
    <t>261 MAPLE HILL DR</t>
  </si>
  <si>
    <t>Harrington Park School District</t>
  </si>
  <si>
    <t>Harrington Park School</t>
  </si>
  <si>
    <t>Nitzberg</t>
  </si>
  <si>
    <t>nitzberg@hpsd.org</t>
  </si>
  <si>
    <t>191 HARRIOT AVE</t>
  </si>
  <si>
    <t>HARRINGTON PARK</t>
  </si>
  <si>
    <t>Victoria</t>
  </si>
  <si>
    <t>Hasbrouck Heights School District</t>
  </si>
  <si>
    <t>Euclid Elementary School</t>
  </si>
  <si>
    <t>Sickels</t>
  </si>
  <si>
    <t>sickelsm@hhschools.org</t>
  </si>
  <si>
    <t>1 BURTON AVENUE</t>
  </si>
  <si>
    <t>HASBROUCK HEIGHTS</t>
  </si>
  <si>
    <t>Colangelo</t>
  </si>
  <si>
    <t>colangeloj@hhschools.org</t>
  </si>
  <si>
    <t>BURTON &amp; PATERSON AVES</t>
  </si>
  <si>
    <t>Haworth Public School District</t>
  </si>
  <si>
    <t>Haworth Public School</t>
  </si>
  <si>
    <t>Huettenmoser</t>
  </si>
  <si>
    <t>huettenmoser@nvnet.org</t>
  </si>
  <si>
    <t>205 VALLEY RD</t>
  </si>
  <si>
    <t>HAWORTH</t>
  </si>
  <si>
    <t>Hillsdale School District</t>
  </si>
  <si>
    <t>HILLSDALE</t>
  </si>
  <si>
    <t>Meadowbrook</t>
  </si>
  <si>
    <t>Bell</t>
  </si>
  <si>
    <t>cbell@hillsdaleschools.com</t>
  </si>
  <si>
    <t>50 PIERMONT AVE</t>
  </si>
  <si>
    <t>Martha</t>
  </si>
  <si>
    <t>Leonia Public School District</t>
  </si>
  <si>
    <t>Anna C. Scott Elementary School</t>
  </si>
  <si>
    <t>Barcelo Martinez</t>
  </si>
  <si>
    <t>maria.martinez@leoniaschools.org</t>
  </si>
  <si>
    <t>281 Broad Avenue</t>
  </si>
  <si>
    <t>Leonia</t>
  </si>
  <si>
    <t>Cooper</t>
  </si>
  <si>
    <t>Whalen</t>
  </si>
  <si>
    <t>Little Ferry Public School District</t>
  </si>
  <si>
    <t>George</t>
  </si>
  <si>
    <t>LITTLE FERRY</t>
  </si>
  <si>
    <t>Miller</t>
  </si>
  <si>
    <t>Jocelyn</t>
  </si>
  <si>
    <t>Tonilyn</t>
  </si>
  <si>
    <t>Peragallo</t>
  </si>
  <si>
    <t>tperagallo@lfboe.org</t>
  </si>
  <si>
    <t>130 A LIBERTY ST</t>
  </si>
  <si>
    <t>Lodi School District</t>
  </si>
  <si>
    <t>Columbus School</t>
  </si>
  <si>
    <t>Cannizzaro</t>
  </si>
  <si>
    <t>robert.cannizzaro@lodi.k12.nj.us</t>
  </si>
  <si>
    <t>370 WESTERVELT PLACE</t>
  </si>
  <si>
    <t>LODI</t>
  </si>
  <si>
    <t>Hilltop School</t>
  </si>
  <si>
    <t>Focarino</t>
  </si>
  <si>
    <t>glenn.focarino@lodi.k12.nj.us</t>
  </si>
  <si>
    <t>200 KIPP AVENUE</t>
  </si>
  <si>
    <t>Roosevelt School</t>
  </si>
  <si>
    <t>Jack</t>
  </si>
  <si>
    <t>Lipari</t>
  </si>
  <si>
    <t>jack.lipari@lodi.k12.nj.us</t>
  </si>
  <si>
    <t>435 PASSAIC AVENUE</t>
  </si>
  <si>
    <t>Washington School</t>
  </si>
  <si>
    <t>Dowson</t>
  </si>
  <si>
    <t>kevin.dowson@lodi.k12.nj.us</t>
  </si>
  <si>
    <t>310 N  MAIN STREET</t>
  </si>
  <si>
    <t>Wilson School</t>
  </si>
  <si>
    <t>Vanderhook</t>
  </si>
  <si>
    <t>christie.vanderhook@lodi.k12.nj.us</t>
  </si>
  <si>
    <t>80 UNION STREET</t>
  </si>
  <si>
    <t>Lyndhurst Public School District</t>
  </si>
  <si>
    <t>Giangeruso</t>
  </si>
  <si>
    <t>robertgiangeruso@lyndhurst.k12.nj.us</t>
  </si>
  <si>
    <t>640 LAKE AVE</t>
  </si>
  <si>
    <t>LYNDHURST</t>
  </si>
  <si>
    <t>Lyndhurst</t>
  </si>
  <si>
    <t>Rizzo</t>
  </si>
  <si>
    <t>michaelrizzo@lyndhurst.k12.nj.us</t>
  </si>
  <si>
    <t>MaryAnn</t>
  </si>
  <si>
    <t>319 New York Avenue</t>
  </si>
  <si>
    <t>Strumolo</t>
  </si>
  <si>
    <t>peterstrumolo@lyndhurst.k12.nj.us</t>
  </si>
  <si>
    <t>530 STUYVESANT AVE</t>
  </si>
  <si>
    <t>Christina</t>
  </si>
  <si>
    <t>Bernardo</t>
  </si>
  <si>
    <t>christinabernardo@lyndhurst.k12.nj.us</t>
  </si>
  <si>
    <t>709 RIDGE RD</t>
  </si>
  <si>
    <t>Mahwah Township Public School District</t>
  </si>
  <si>
    <t>MAHWAH</t>
  </si>
  <si>
    <t>Hagopian</t>
  </si>
  <si>
    <t>mhagopian@mahwah.k12.nj.us</t>
  </si>
  <si>
    <t>39 FARDALE AVENUE</t>
  </si>
  <si>
    <t>Ashley</t>
  </si>
  <si>
    <t>Adams</t>
  </si>
  <si>
    <t>Natasha</t>
  </si>
  <si>
    <t>Maywood School District</t>
  </si>
  <si>
    <t>MAYWOOD</t>
  </si>
  <si>
    <t>Keith</t>
  </si>
  <si>
    <t>Halligan</t>
  </si>
  <si>
    <t>mhalligan@maywoodschools.org</t>
  </si>
  <si>
    <t>764 GRANT AVE</t>
  </si>
  <si>
    <t>Midland Park School District</t>
  </si>
  <si>
    <t>Godwin Elementary School</t>
  </si>
  <si>
    <t>Bache</t>
  </si>
  <si>
    <t>dbache@mpsnj.org</t>
  </si>
  <si>
    <t>41 E. Center Street</t>
  </si>
  <si>
    <t>Midland Park</t>
  </si>
  <si>
    <t>Andrew</t>
  </si>
  <si>
    <t>Nicholas</t>
  </si>
  <si>
    <t>Montvale Board of Education School District</t>
  </si>
  <si>
    <t>Montvale</t>
  </si>
  <si>
    <t>Walker</t>
  </si>
  <si>
    <t>Memorial Elementary School</t>
  </si>
  <si>
    <t>Parks</t>
  </si>
  <si>
    <t>eparks@montvalek8.org</t>
  </si>
  <si>
    <t>53 Grand Avenue West</t>
  </si>
  <si>
    <t>Nina</t>
  </si>
  <si>
    <t>Moonachie School District</t>
  </si>
  <si>
    <t>Robert L. Craig School</t>
  </si>
  <si>
    <t>Knipper</t>
  </si>
  <si>
    <t>jknipper@moonachieschool.org</t>
  </si>
  <si>
    <t>20 WEST PARK STREET</t>
  </si>
  <si>
    <t>MOONACHIE</t>
  </si>
  <si>
    <t>New Milford Public School District</t>
  </si>
  <si>
    <t>Berkley Street School</t>
  </si>
  <si>
    <t>Caridad</t>
  </si>
  <si>
    <t>Chrisomalis</t>
  </si>
  <si>
    <t>cchrisomalis@nmpsd.org</t>
  </si>
  <si>
    <t>812 BERKLEY STREET</t>
  </si>
  <si>
    <t>NEW MILFORD</t>
  </si>
  <si>
    <t>Bertrand F. Gibbs Elementary School</t>
  </si>
  <si>
    <t>Torre</t>
  </si>
  <si>
    <t>jtorre@nmpsd.org</t>
  </si>
  <si>
    <t>195 SUTTON PLACE</t>
  </si>
  <si>
    <t>Sara</t>
  </si>
  <si>
    <t>David E. Owens Middle School</t>
  </si>
  <si>
    <t>DeLalla</t>
  </si>
  <si>
    <t>jdelalla@nmpsd.org</t>
  </si>
  <si>
    <t>470 MARION AVENUE</t>
  </si>
  <si>
    <t>Louis</t>
  </si>
  <si>
    <t>North Arlington School District</t>
  </si>
  <si>
    <t>Franklin D Roosevelt Elementary School</t>
  </si>
  <si>
    <t>Alicia</t>
  </si>
  <si>
    <t>Giammanco</t>
  </si>
  <si>
    <t>agiammanco@navikings.org</t>
  </si>
  <si>
    <t>50 Webster Street</t>
  </si>
  <si>
    <t>North Arlington</t>
  </si>
  <si>
    <t>George Washington Elementary School</t>
  </si>
  <si>
    <t>Cutrali</t>
  </si>
  <si>
    <t>mcutrali@navikings.org</t>
  </si>
  <si>
    <t>175 Albert Street</t>
  </si>
  <si>
    <t>North Arlington High School</t>
  </si>
  <si>
    <t>Bott</t>
  </si>
  <si>
    <t>pbott@navikings.org</t>
  </si>
  <si>
    <t>222 Ridge Road</t>
  </si>
  <si>
    <t>Susan B. Anthony Elementary School</t>
  </si>
  <si>
    <t>Rodriguez</t>
  </si>
  <si>
    <t>jrodriguez@navikings.org</t>
  </si>
  <si>
    <t>45 Beech Street</t>
  </si>
  <si>
    <t>Carolyn</t>
  </si>
  <si>
    <t>Northern Valley Regional High School District</t>
  </si>
  <si>
    <t>Northern Valley Central</t>
  </si>
  <si>
    <t>Blair</t>
  </si>
  <si>
    <t>Rosenthal</t>
  </si>
  <si>
    <t>Rosenthalb@nvnet.org</t>
  </si>
  <si>
    <t>200 Summit Street</t>
  </si>
  <si>
    <t>Norwood</t>
  </si>
  <si>
    <t>Northvale Public School District</t>
  </si>
  <si>
    <t>Northvale Public School</t>
  </si>
  <si>
    <t>DeBlasio</t>
  </si>
  <si>
    <t>deblasion@nvnet.org</t>
  </si>
  <si>
    <t>441 TAPPAN ROAD</t>
  </si>
  <si>
    <t>NORTHVALE</t>
  </si>
  <si>
    <t>Norwood Public School District</t>
  </si>
  <si>
    <t>Norwood Public School</t>
  </si>
  <si>
    <t>DeRosa</t>
  </si>
  <si>
    <t>derosak@wearenorwood.com</t>
  </si>
  <si>
    <t>177 SUMMIT ST</t>
  </si>
  <si>
    <t>NORWOOD</t>
  </si>
  <si>
    <t>Oakland Public School District</t>
  </si>
  <si>
    <t>Sean</t>
  </si>
  <si>
    <t>Jacobson</t>
  </si>
  <si>
    <t>Adam</t>
  </si>
  <si>
    <t>TOPS Early Learning Childhood Learning</t>
  </si>
  <si>
    <t>Zimmerle</t>
  </si>
  <si>
    <t>Director</t>
  </si>
  <si>
    <t>zimmerle@oaklandschoolsnj.org</t>
  </si>
  <si>
    <t>117C Franklin Avenue</t>
  </si>
  <si>
    <t>Oakland</t>
  </si>
  <si>
    <t>Gregg</t>
  </si>
  <si>
    <t>Old Tappan Public School District</t>
  </si>
  <si>
    <t>OLD TAPPAN</t>
  </si>
  <si>
    <t>T. Baldwin Demarest Elementary School</t>
  </si>
  <si>
    <t>Boyce</t>
  </si>
  <si>
    <t>boycek@nvnet.org</t>
  </si>
  <si>
    <t>1 SCHOOL ST</t>
  </si>
  <si>
    <t>Palisades Park School District</t>
  </si>
  <si>
    <t>Charles R Smith Early Chilhood Center</t>
  </si>
  <si>
    <t>Jillian</t>
  </si>
  <si>
    <t>Romero</t>
  </si>
  <si>
    <t>jromero@palpkschools.org</t>
  </si>
  <si>
    <t>270 FIRST STREET</t>
  </si>
  <si>
    <t>PALISADES PARK</t>
  </si>
  <si>
    <t>Paramus Public School District</t>
  </si>
  <si>
    <t>Laverne</t>
  </si>
  <si>
    <t>O Boyle</t>
  </si>
  <si>
    <t>loboyle@paramusschools.org</t>
  </si>
  <si>
    <t>EAST 203 MIDLAND AVENUE</t>
  </si>
  <si>
    <t>Miranda</t>
  </si>
  <si>
    <t>Richardson</t>
  </si>
  <si>
    <t>Paramus High School</t>
  </si>
  <si>
    <t>Raymond</t>
  </si>
  <si>
    <t>Kiem</t>
  </si>
  <si>
    <t>rjkiem@paramusschools.org</t>
  </si>
  <si>
    <t>99 EAST CENTURY ROAD</t>
  </si>
  <si>
    <t>Parkway Elementary School</t>
  </si>
  <si>
    <t>Barbi</t>
  </si>
  <si>
    <t>sbarbi@paramusschools.org</t>
  </si>
  <si>
    <t>145 E. RIDGEWOOD AVENUE</t>
  </si>
  <si>
    <t>Jeanine</t>
  </si>
  <si>
    <t>Laurie</t>
  </si>
  <si>
    <t>Park Ridge School District</t>
  </si>
  <si>
    <t>PARK RIDGE</t>
  </si>
  <si>
    <t>West Ridge Elementary School</t>
  </si>
  <si>
    <t>Kirkby</t>
  </si>
  <si>
    <t>chriskirkby@parkridge.k12.nj.us</t>
  </si>
  <si>
    <t>18 South  First Street</t>
  </si>
  <si>
    <t>Tatum</t>
  </si>
  <si>
    <t>Timothy</t>
  </si>
  <si>
    <t>Gregory</t>
  </si>
  <si>
    <t>Vacca</t>
  </si>
  <si>
    <t>Travis</t>
  </si>
  <si>
    <t>Ramsey School District</t>
  </si>
  <si>
    <t>RAMSEY</t>
  </si>
  <si>
    <t>Mary A. Hubbard Elementary School</t>
  </si>
  <si>
    <t>Stacey</t>
  </si>
  <si>
    <t>Linzenbold</t>
  </si>
  <si>
    <t>slinzenbold@ramsey.k12.nj.us</t>
  </si>
  <si>
    <t>10 HUBBARD LANE</t>
  </si>
  <si>
    <t>Wesley D Tisdale Elementary School</t>
  </si>
  <si>
    <t>Aliano</t>
  </si>
  <si>
    <t>galiano@ramsey.k12.nj.us</t>
  </si>
  <si>
    <t>200 ISLAND AVENUE</t>
  </si>
  <si>
    <t>Ridgefield Park Public School District</t>
  </si>
  <si>
    <t>RIDGEFIELD PARK</t>
  </si>
  <si>
    <t>Julianne</t>
  </si>
  <si>
    <t>Stephen</t>
  </si>
  <si>
    <t>Ferraro</t>
  </si>
  <si>
    <t>sferraro@rpschools.net</t>
  </si>
  <si>
    <t>712 LINCOLN AVENUE</t>
  </si>
  <si>
    <t>Roosevelt  Elementary School</t>
  </si>
  <si>
    <t>Cata</t>
  </si>
  <si>
    <t>jcata@rpschools.net</t>
  </si>
  <si>
    <t>508 TEANECK ROAD</t>
  </si>
  <si>
    <t>Ridgefield School District</t>
  </si>
  <si>
    <t>RIDGEFIELD</t>
  </si>
  <si>
    <t>Shaler Academy</t>
  </si>
  <si>
    <t>McGlynn</t>
  </si>
  <si>
    <t>jmcglynn@ridgefieldschools.com</t>
  </si>
  <si>
    <t>455 SHALER BOULEVARD</t>
  </si>
  <si>
    <t>Ridgewood Public School District</t>
  </si>
  <si>
    <t>RIDGEWOOD</t>
  </si>
  <si>
    <t>Lara</t>
  </si>
  <si>
    <t>Glen School</t>
  </si>
  <si>
    <t>Janel</t>
  </si>
  <si>
    <t>Nese</t>
  </si>
  <si>
    <t>Education Coordinator</t>
  </si>
  <si>
    <t>jnese@rpsnj.us</t>
  </si>
  <si>
    <t>865 EAST GLEN AVENUE</t>
  </si>
  <si>
    <t>Gerald</t>
  </si>
  <si>
    <t>Mitchell</t>
  </si>
  <si>
    <t>Steven</t>
  </si>
  <si>
    <t>Brandon</t>
  </si>
  <si>
    <t>River Edge School District</t>
  </si>
  <si>
    <t>Denise</t>
  </si>
  <si>
    <t>RIVER EDGE</t>
  </si>
  <si>
    <t>Grimshaw</t>
  </si>
  <si>
    <t>grimshawn@riverdgeschools.org</t>
  </si>
  <si>
    <t>711 SUMMIT AVE</t>
  </si>
  <si>
    <t>Rochelle Park School District</t>
  </si>
  <si>
    <t>Midland School #1</t>
  </si>
  <si>
    <t>Courtney</t>
  </si>
  <si>
    <t>Carmichael</t>
  </si>
  <si>
    <t>ccarmichael@rochellepark.org</t>
  </si>
  <si>
    <t>300 ROCHELLE AVE</t>
  </si>
  <si>
    <t>ROCHELLE PARK</t>
  </si>
  <si>
    <t>Rutherford School District</t>
  </si>
  <si>
    <t>RUTHERFORD</t>
  </si>
  <si>
    <t>Kurt</t>
  </si>
  <si>
    <t>Saxon</t>
  </si>
  <si>
    <t>jsaxon@rutherfordschools.org</t>
  </si>
  <si>
    <t>89 WOOD ST</t>
  </si>
  <si>
    <t>Saddle Brook School District</t>
  </si>
  <si>
    <t>Robinson</t>
  </si>
  <si>
    <t>Jacquelyn</t>
  </si>
  <si>
    <t>Brooke</t>
  </si>
  <si>
    <t>Hanenberg</t>
  </si>
  <si>
    <t>bhanenberg@sbpsnj.org</t>
  </si>
  <si>
    <t>225 Market Street</t>
  </si>
  <si>
    <t>Saddle Brook</t>
  </si>
  <si>
    <t>Byrne</t>
  </si>
  <si>
    <t>Saddle River School District</t>
  </si>
  <si>
    <t>Wandell School</t>
  </si>
  <si>
    <t>Freedman</t>
  </si>
  <si>
    <t>rfreedman@wandellschool.org</t>
  </si>
  <si>
    <t>97 E ALLENDALE RD</t>
  </si>
  <si>
    <t>SADDLE RIVER</t>
  </si>
  <si>
    <t>South  Bergen Jointure Commission School District</t>
  </si>
  <si>
    <t>Interim Principal</t>
  </si>
  <si>
    <t>Maywood Campus</t>
  </si>
  <si>
    <t>Rosicki</t>
  </si>
  <si>
    <t>lrosicki@njsbjc.org</t>
  </si>
  <si>
    <t>404 MAYWOOD AVENUE</t>
  </si>
  <si>
    <t>South Hackensack School District</t>
  </si>
  <si>
    <t>Chirichella</t>
  </si>
  <si>
    <t>jchirichella@shmemorial.org</t>
  </si>
  <si>
    <t>DYER AVENUE</t>
  </si>
  <si>
    <t>SOUTH HACKENSACK</t>
  </si>
  <si>
    <t>Hillary</t>
  </si>
  <si>
    <t>Teaneck School District</t>
  </si>
  <si>
    <t>TEANECK</t>
  </si>
  <si>
    <t>Danette</t>
  </si>
  <si>
    <t>Theodora Smiley Lacey Elementary School</t>
  </si>
  <si>
    <t>King</t>
  </si>
  <si>
    <t>lking@teaneckschools.org</t>
  </si>
  <si>
    <t>ONE MERRISON STREET</t>
  </si>
  <si>
    <t>William Cullen Bryant School</t>
  </si>
  <si>
    <t>Deubel</t>
  </si>
  <si>
    <t>ddeubel@teaneckschools.org</t>
  </si>
  <si>
    <t>1 TRYON AVENUE</t>
  </si>
  <si>
    <t>Tenafly Public School District</t>
  </si>
  <si>
    <t>TENAFLY</t>
  </si>
  <si>
    <t>Heidi</t>
  </si>
  <si>
    <t>Walter Stillman School</t>
  </si>
  <si>
    <t>Gayle</t>
  </si>
  <si>
    <t>Lander</t>
  </si>
  <si>
    <t>glander@tenafly.k12.nj.us</t>
  </si>
  <si>
    <t>75 TENAFLY ROAD</t>
  </si>
  <si>
    <t>Upper Saddle River School District</t>
  </si>
  <si>
    <t>391 W  SADDLE RIVER RD</t>
  </si>
  <si>
    <t>UPPER SADDLE RIVER</t>
  </si>
  <si>
    <t>Robert D Reynolds Primary School</t>
  </si>
  <si>
    <t>Devin</t>
  </si>
  <si>
    <t>Severs</t>
  </si>
  <si>
    <t>dsevers@usrschoolsk8.com</t>
  </si>
  <si>
    <t>Waldwick School District</t>
  </si>
  <si>
    <t>WALDWICK</t>
  </si>
  <si>
    <t>Julia A Traphagen School</t>
  </si>
  <si>
    <t>Sileo</t>
  </si>
  <si>
    <t>sileor@waldwickschools.org</t>
  </si>
  <si>
    <t>153 SUMMIT AVENUE</t>
  </si>
  <si>
    <t>Carroll</t>
  </si>
  <si>
    <t>Wallington Boro School District</t>
  </si>
  <si>
    <t>Helen</t>
  </si>
  <si>
    <t>WALLINGTON</t>
  </si>
  <si>
    <t>Jefferson (Annex) Elementary School</t>
  </si>
  <si>
    <t>Luterzo</t>
  </si>
  <si>
    <t>luterzo@wboe.org</t>
  </si>
  <si>
    <t>6 Bond Street</t>
  </si>
  <si>
    <t>Westwood Regional School District</t>
  </si>
  <si>
    <t>TOWNSHIP OF WASHINGTON</t>
  </si>
  <si>
    <t>Jenny</t>
  </si>
  <si>
    <t>Palianto</t>
  </si>
  <si>
    <t>melissa.palianto@wwrsd.org</t>
  </si>
  <si>
    <t>600 SCHOOL STREET</t>
  </si>
  <si>
    <t>Westwood Regional High School</t>
  </si>
  <si>
    <t>frank.connelly@wwrsd.org</t>
  </si>
  <si>
    <t>701 RIDGEWOOD ROAD</t>
  </si>
  <si>
    <t>Wood-Ridge School District</t>
  </si>
  <si>
    <t>Catherine E. Doyle Elementary School</t>
  </si>
  <si>
    <t>lschmitt@wood-ridgeschools.org</t>
  </si>
  <si>
    <t>250 WOOD  RIDGE AVE</t>
  </si>
  <si>
    <t>WOOD  RIDGE</t>
  </si>
  <si>
    <t>Woodcliff Lake School District</t>
  </si>
  <si>
    <t>Dorchester Elementary School</t>
  </si>
  <si>
    <t>Stefanie</t>
  </si>
  <si>
    <t>Marsich</t>
  </si>
  <si>
    <t>smarsich@woodcliff-lake.com</t>
  </si>
  <si>
    <t>100 DORCHESTER ROAD</t>
  </si>
  <si>
    <t>WOODCLIFF LAKE</t>
  </si>
  <si>
    <t>Jackson</t>
  </si>
  <si>
    <t>Wyckoff Township Public School District</t>
  </si>
  <si>
    <t>WYCKOFF</t>
  </si>
  <si>
    <t>Anne</t>
  </si>
  <si>
    <t>sblake@wyckoffschools.org</t>
  </si>
  <si>
    <t>270 WOODLAND AVE</t>
  </si>
  <si>
    <t>Sicomac Elementary School</t>
  </si>
  <si>
    <t>Raimo</t>
  </si>
  <si>
    <t>sraimo@wyckoffschools.org</t>
  </si>
  <si>
    <t>356 SICOMAC AVE</t>
  </si>
  <si>
    <t>BURLINGTON</t>
  </si>
  <si>
    <t>Beverly City School District</t>
  </si>
  <si>
    <t>Elizabeth</t>
  </si>
  <si>
    <t>Giacobbe</t>
  </si>
  <si>
    <t>egiacobbe@beverlycityschool.org</t>
  </si>
  <si>
    <t>601 BENTLEY AVE</t>
  </si>
  <si>
    <t>BEVERLY</t>
  </si>
  <si>
    <t>Bordentown Regional School District</t>
  </si>
  <si>
    <t>BORDENTOWN</t>
  </si>
  <si>
    <t>Clara Barton Elementary</t>
  </si>
  <si>
    <t>Wawrzyniak</t>
  </si>
  <si>
    <t>hwawrzyniak@bordentown.k12.nj.us</t>
  </si>
  <si>
    <t>100 CROSSWICKS ST</t>
  </si>
  <si>
    <t>Peter Muschal Elementary</t>
  </si>
  <si>
    <t>Lymper</t>
  </si>
  <si>
    <t>jlymper@bordentown.k12.nj.us</t>
  </si>
  <si>
    <t>323 WARD AVE</t>
  </si>
  <si>
    <t>Burlington City Public School District</t>
  </si>
  <si>
    <t>Juan</t>
  </si>
  <si>
    <t>Megan</t>
  </si>
  <si>
    <t>Marilyn</t>
  </si>
  <si>
    <t>Dunham</t>
  </si>
  <si>
    <t>mdunham@burlington-nj.net</t>
  </si>
  <si>
    <t>Samuel Smith Elementary School</t>
  </si>
  <si>
    <t>250 FARNER AVENUE</t>
  </si>
  <si>
    <t>Jesse</t>
  </si>
  <si>
    <t>Colleen</t>
  </si>
  <si>
    <t>Burlington County Special Services School District</t>
  </si>
  <si>
    <t>Westampton Campus</t>
  </si>
  <si>
    <t>Leigh</t>
  </si>
  <si>
    <t>dleigh@burlcoschools.org</t>
  </si>
  <si>
    <t>20 PIONEER BLVD</t>
  </si>
  <si>
    <t>WESTAMPTON</t>
  </si>
  <si>
    <t>Burlington Township School District</t>
  </si>
  <si>
    <t>B. Bernice Young Elementary School</t>
  </si>
  <si>
    <t>Casey</t>
  </si>
  <si>
    <t>Kocsis</t>
  </si>
  <si>
    <t>ckocsis@burltwpsch.org</t>
  </si>
  <si>
    <t>1203 Neck Rd</t>
  </si>
  <si>
    <t>Catherine</t>
  </si>
  <si>
    <t>Matthew</t>
  </si>
  <si>
    <t>April</t>
  </si>
  <si>
    <t>Chesterfield Township School District</t>
  </si>
  <si>
    <t>Chesterfield Township Elementary School</t>
  </si>
  <si>
    <t>Coletta</t>
  </si>
  <si>
    <t>Graham</t>
  </si>
  <si>
    <t>cgraham@chesterfieldschool.com</t>
  </si>
  <si>
    <t>30 Saddle Way</t>
  </si>
  <si>
    <t>Chesterfield</t>
  </si>
  <si>
    <t>Cinnaminson Township School District</t>
  </si>
  <si>
    <t>Cinnaminson Memorial School</t>
  </si>
  <si>
    <t>Goulburn</t>
  </si>
  <si>
    <t>goulburnf@cinnaminson.com</t>
  </si>
  <si>
    <t>2195 Riverton Road</t>
  </si>
  <si>
    <t>Cinnaminson</t>
  </si>
  <si>
    <t>Delanco Township School District</t>
  </si>
  <si>
    <t>DELANCO</t>
  </si>
  <si>
    <t>Walnut Street School</t>
  </si>
  <si>
    <t>Vacant</t>
  </si>
  <si>
    <t>xxx@delanco.com</t>
  </si>
  <si>
    <t>411 WALNUT ST</t>
  </si>
  <si>
    <t>Stacy</t>
  </si>
  <si>
    <t>Eastampton Township School District</t>
  </si>
  <si>
    <t>Eastampton Township Community School</t>
  </si>
  <si>
    <t>Lianne</t>
  </si>
  <si>
    <t>Kane</t>
  </si>
  <si>
    <t>lkane@etsdnj.us</t>
  </si>
  <si>
    <t>1 STUDENT DRIVE</t>
  </si>
  <si>
    <t>EASTAMPTON</t>
  </si>
  <si>
    <t>Edgewater Park Township School District</t>
  </si>
  <si>
    <t>Mildred Magowan Elementary School</t>
  </si>
  <si>
    <t>Shelby</t>
  </si>
  <si>
    <t>Larison</t>
  </si>
  <si>
    <t>slarison@edgewaterparksd.org</t>
  </si>
  <si>
    <t>405 CHERRIX AVENUE</t>
  </si>
  <si>
    <t>EDGEWATER PARK</t>
  </si>
  <si>
    <t>Ronald</t>
  </si>
  <si>
    <t>Evesham Township School District</t>
  </si>
  <si>
    <t>MARLTON</t>
  </si>
  <si>
    <t>Traci</t>
  </si>
  <si>
    <t>Richard L Rice School</t>
  </si>
  <si>
    <t>Fry</t>
  </si>
  <si>
    <t>Frya@evesham.k12.nj.us</t>
  </si>
  <si>
    <t>50 CROWN ROYAL PARKWAY</t>
  </si>
  <si>
    <t>Morris</t>
  </si>
  <si>
    <t>Jackie</t>
  </si>
  <si>
    <t>Florence Township School District</t>
  </si>
  <si>
    <t>Florence Riverfront School</t>
  </si>
  <si>
    <t>Hoch</t>
  </si>
  <si>
    <t>nhoch@florence.k12.nj.us</t>
  </si>
  <si>
    <t>500 East Front Street</t>
  </si>
  <si>
    <t>FLORENCE</t>
  </si>
  <si>
    <t>Roebling Elementary School</t>
  </si>
  <si>
    <t>Fazekas</t>
  </si>
  <si>
    <t>bfazekas@florence.k12.nj.us</t>
  </si>
  <si>
    <t>1330 HORNBERGER AVE</t>
  </si>
  <si>
    <t>ROEBLING</t>
  </si>
  <si>
    <t>Hainesport Township School District</t>
  </si>
  <si>
    <t>Hainesport Township School</t>
  </si>
  <si>
    <t>Alex</t>
  </si>
  <si>
    <t>Fisher</t>
  </si>
  <si>
    <t>fisher@hainesport.k12.nj.us</t>
  </si>
  <si>
    <t>211 BROAD STREET</t>
  </si>
  <si>
    <t>HAINESPORT</t>
  </si>
  <si>
    <t>Shannon</t>
  </si>
  <si>
    <t>MEDFORD</t>
  </si>
  <si>
    <t>TABERNACLE</t>
  </si>
  <si>
    <t>Campbell</t>
  </si>
  <si>
    <t>Lumberton Township Board of Education</t>
  </si>
  <si>
    <t>Ashbrook Elementary School</t>
  </si>
  <si>
    <t>Kilgore</t>
  </si>
  <si>
    <t>jkilgore@lumberton.k12.nj.us</t>
  </si>
  <si>
    <t>33 MUNICIPAL DRIVE</t>
  </si>
  <si>
    <t>LUMBERTON</t>
  </si>
  <si>
    <t>Colon</t>
  </si>
  <si>
    <t>Mansfield Township School District</t>
  </si>
  <si>
    <t>John Hydock Elementary School</t>
  </si>
  <si>
    <t>Cullari</t>
  </si>
  <si>
    <t>scullari@mansfieldschool.com</t>
  </si>
  <si>
    <t>19 LOCUST AVE</t>
  </si>
  <si>
    <t>COLUMBUS</t>
  </si>
  <si>
    <t>Christa</t>
  </si>
  <si>
    <t>Maple Shade School District</t>
  </si>
  <si>
    <t>Howard Yocum Elementary</t>
  </si>
  <si>
    <t>Yvonne</t>
  </si>
  <si>
    <t>Reitz</t>
  </si>
  <si>
    <t>yreitz@msemail.org</t>
  </si>
  <si>
    <t>748 North Forklanding Road</t>
  </si>
  <si>
    <t>MAPLE SHADE</t>
  </si>
  <si>
    <t>Christian</t>
  </si>
  <si>
    <t>Medford Township School District</t>
  </si>
  <si>
    <t>Chairville Elementary School</t>
  </si>
  <si>
    <t>Winkelspecht</t>
  </si>
  <si>
    <t>rwinkelspecht@medfordschools.net</t>
  </si>
  <si>
    <t>36 CHAIRVILLE ROAD</t>
  </si>
  <si>
    <t>Cranberry Pines Elementary</t>
  </si>
  <si>
    <t>Jen</t>
  </si>
  <si>
    <t>Petagno</t>
  </si>
  <si>
    <t>jpetagno@medfordschools.net</t>
  </si>
  <si>
    <t>400 FAIRVIEW ROAD</t>
  </si>
  <si>
    <t>Sheila</t>
  </si>
  <si>
    <t>Bouchard</t>
  </si>
  <si>
    <t>hbouchard@medfordschools.net</t>
  </si>
  <si>
    <t>151 HARTFORD ROAD</t>
  </si>
  <si>
    <t>Medford Memorial Middle School</t>
  </si>
  <si>
    <t>Shawn</t>
  </si>
  <si>
    <t>sryan@medfordschools.net</t>
  </si>
  <si>
    <t>55 MILL STREET</t>
  </si>
  <si>
    <t>Milton H. Allen Elementary School</t>
  </si>
  <si>
    <t>Clarke</t>
  </si>
  <si>
    <t>cclarke@medfordschools.net</t>
  </si>
  <si>
    <t>24 ALLEN AVENUE</t>
  </si>
  <si>
    <t>Taunton Forge Elementary School</t>
  </si>
  <si>
    <t>Lucas</t>
  </si>
  <si>
    <t>Coesfeld</t>
  </si>
  <si>
    <t>lcoesfeld@medfordschools.net</t>
  </si>
  <si>
    <t>32 EVERGREEN TRAIL</t>
  </si>
  <si>
    <t>Moorestown Township Public School District</t>
  </si>
  <si>
    <t>MOORESTOWN</t>
  </si>
  <si>
    <t>McBride</t>
  </si>
  <si>
    <t>Mary E. Roberts Elementary School</t>
  </si>
  <si>
    <t>Carter</t>
  </si>
  <si>
    <t>bcarter@mtps.com</t>
  </si>
  <si>
    <t>290 CRESCENT AVENUE</t>
  </si>
  <si>
    <t>Mount Holly Township Public School District</t>
  </si>
  <si>
    <t>MOUNT HOLLY</t>
  </si>
  <si>
    <t>John Brainerd Elementary School</t>
  </si>
  <si>
    <t>Peoples</t>
  </si>
  <si>
    <t>npeoples@mtholly.k12.nj.us</t>
  </si>
  <si>
    <t>100 WOLLNER DR</t>
  </si>
  <si>
    <t>Mount Laurel Township School District</t>
  </si>
  <si>
    <t>MOUNT LAUREL</t>
  </si>
  <si>
    <t>Fleetwood Elementary School</t>
  </si>
  <si>
    <t>Switzer</t>
  </si>
  <si>
    <t>nswitzer@mtlaurelschools.org</t>
  </si>
  <si>
    <t>231 FLEETWOOD AVE</t>
  </si>
  <si>
    <t>Larchmont Elementary School</t>
  </si>
  <si>
    <t>Patrice</t>
  </si>
  <si>
    <t>Clark</t>
  </si>
  <si>
    <t>pclark@mtlaurelschools.org</t>
  </si>
  <si>
    <t>301 LARCHMONT BLVD</t>
  </si>
  <si>
    <t>Conti</t>
  </si>
  <si>
    <t>lconti@mtlaurelschools.org</t>
  </si>
  <si>
    <t>142 RAMBLEWOOD PARKWAY</t>
  </si>
  <si>
    <t>Springville Elementary School</t>
  </si>
  <si>
    <t>Gailen</t>
  </si>
  <si>
    <t>gmitchell@mtlaurelschools.org</t>
  </si>
  <si>
    <t>520 HARTFORD ROAD</t>
  </si>
  <si>
    <t>MT  LAUREL</t>
  </si>
  <si>
    <t>New Hanover Township</t>
  </si>
  <si>
    <t>New Hanover Township School</t>
  </si>
  <si>
    <t>Larkin</t>
  </si>
  <si>
    <t>slarkin@newhanover.k12.nj.us</t>
  </si>
  <si>
    <t>122 FORT DIX STREET</t>
  </si>
  <si>
    <t>WRIGHTSTOWN</t>
  </si>
  <si>
    <t>North Hanover Township School District</t>
  </si>
  <si>
    <t>Clarence B. Lamb Elementary School</t>
  </si>
  <si>
    <t>Paterson</t>
  </si>
  <si>
    <t>gpaterson@nhanover.com</t>
  </si>
  <si>
    <t>46 SCHOOLHOUSE ROAD</t>
  </si>
  <si>
    <t>Endeavour Elementary School</t>
  </si>
  <si>
    <t>Danley</t>
  </si>
  <si>
    <t>jdanley@nhanover.com</t>
  </si>
  <si>
    <t>1 School Road</t>
  </si>
  <si>
    <t>JB MDL</t>
  </si>
  <si>
    <t>Tara</t>
  </si>
  <si>
    <t>Palmyra Public School District</t>
  </si>
  <si>
    <t>Delaware Avenue School</t>
  </si>
  <si>
    <t>Florencia</t>
  </si>
  <si>
    <t>Norton</t>
  </si>
  <si>
    <t>fnorton@palmyra.k12.nj.us</t>
  </si>
  <si>
    <t>301 Delaware Ave</t>
  </si>
  <si>
    <t>Palmyra</t>
  </si>
  <si>
    <t>Pemberton Township School District</t>
  </si>
  <si>
    <t>Fort Dix Elementary School</t>
  </si>
  <si>
    <t>Jay</t>
  </si>
  <si>
    <t>jmorris@pemb.org</t>
  </si>
  <si>
    <t>1199 FORT DIX  JULIUSTOWN ROAD</t>
  </si>
  <si>
    <t>FORT DIX</t>
  </si>
  <si>
    <t>Robin</t>
  </si>
  <si>
    <t>Pemberton</t>
  </si>
  <si>
    <t>Pemberton Early Childhood Education Center</t>
  </si>
  <si>
    <t>Hosey</t>
  </si>
  <si>
    <t>dhosey@pemb.org</t>
  </si>
  <si>
    <t>Josh</t>
  </si>
  <si>
    <t>Joshua</t>
  </si>
  <si>
    <t>Zagorski</t>
  </si>
  <si>
    <t>Moore</t>
  </si>
  <si>
    <t>Tim</t>
  </si>
  <si>
    <t>Henry</t>
  </si>
  <si>
    <t>Kristine</t>
  </si>
  <si>
    <t>Tabernacle Township School District</t>
  </si>
  <si>
    <t>Tabernacle Elementary School</t>
  </si>
  <si>
    <t>Arzt</t>
  </si>
  <si>
    <t>arzts@tabschools.org</t>
  </si>
  <si>
    <t>141 NEW ROAD</t>
  </si>
  <si>
    <t>Westampton Township Public School District</t>
  </si>
  <si>
    <t>Holly Hills Elementary School</t>
  </si>
  <si>
    <t>Murray</t>
  </si>
  <si>
    <t>jmurray@westamptonschools.org</t>
  </si>
  <si>
    <t>500 OGDEN DRIVE</t>
  </si>
  <si>
    <t>Willingboro Public School District</t>
  </si>
  <si>
    <t>Garfield ECDC</t>
  </si>
  <si>
    <t>Theresa</t>
  </si>
  <si>
    <t>Hipplewith</t>
  </si>
  <si>
    <t>thipplewith@wboe.net</t>
  </si>
  <si>
    <t>150 Evergreen Dr.</t>
  </si>
  <si>
    <t>Willingboro</t>
  </si>
  <si>
    <t>J.C.Stuart ECDC</t>
  </si>
  <si>
    <t>Cummings</t>
  </si>
  <si>
    <t>mcummings@wboe.net</t>
  </si>
  <si>
    <t>70 SUNSET ROAD</t>
  </si>
  <si>
    <t>Somerville</t>
  </si>
  <si>
    <t>Tiffany</t>
  </si>
  <si>
    <t>Jonathan</t>
  </si>
  <si>
    <t>Bright</t>
  </si>
  <si>
    <t>Woodland Township School District</t>
  </si>
  <si>
    <t>Chatsworth Elementary School</t>
  </si>
  <si>
    <t>Venello</t>
  </si>
  <si>
    <t>lvenello@woodlandboe.org</t>
  </si>
  <si>
    <t>2 John Bowker Jr. Blvd</t>
  </si>
  <si>
    <t>CHATSWORTH</t>
  </si>
  <si>
    <t>Monica</t>
  </si>
  <si>
    <t>CAMDEN</t>
  </si>
  <si>
    <t>Audubon Public School District</t>
  </si>
  <si>
    <t>AUDUBON</t>
  </si>
  <si>
    <t>Audubon Park Preschool</t>
  </si>
  <si>
    <t>Barbra</t>
  </si>
  <si>
    <t>Ledyard</t>
  </si>
  <si>
    <t>bledyard@audubonschools.org</t>
  </si>
  <si>
    <t>2 Road C</t>
  </si>
  <si>
    <t>Audubon Park</t>
  </si>
  <si>
    <t>Haviland Avenue School</t>
  </si>
  <si>
    <t>240 SOUTH HAVILAND AVENUE</t>
  </si>
  <si>
    <t>Cara</t>
  </si>
  <si>
    <t>HADDONFIELD</t>
  </si>
  <si>
    <t>Silvestri</t>
  </si>
  <si>
    <t>Bellmawr Public School District</t>
  </si>
  <si>
    <t>BELLMAWR</t>
  </si>
  <si>
    <t>Bellmawr Park Elementary School</t>
  </si>
  <si>
    <t>Heller</t>
  </si>
  <si>
    <t>gheller@bellmawrschools.org</t>
  </si>
  <si>
    <t>29 PEACH ROAD</t>
  </si>
  <si>
    <t>Douglas</t>
  </si>
  <si>
    <t>Berlin Borough School District</t>
  </si>
  <si>
    <t>Berlin Community School</t>
  </si>
  <si>
    <t>Hickman</t>
  </si>
  <si>
    <t>hickmanl@bcsberlin.org</t>
  </si>
  <si>
    <t>215 S FRANKLIN AVE</t>
  </si>
  <si>
    <t>BERLIN</t>
  </si>
  <si>
    <t>Berlin Township School District</t>
  </si>
  <si>
    <t>West Berlin</t>
  </si>
  <si>
    <t>John F Kennedy Elementary School</t>
  </si>
  <si>
    <t>Carey</t>
  </si>
  <si>
    <t>mcarey@btwpschools.org</t>
  </si>
  <si>
    <t>228 Mt Vernon Avenue</t>
  </si>
  <si>
    <t>BLACKWOOD</t>
  </si>
  <si>
    <t>ERIAL</t>
  </si>
  <si>
    <t>RUNNEMEDE</t>
  </si>
  <si>
    <t>Brooklawn Public School District</t>
  </si>
  <si>
    <t>Alice Costello Elementary School</t>
  </si>
  <si>
    <t>Samuel</t>
  </si>
  <si>
    <t>srosetti@alicecostello.com</t>
  </si>
  <si>
    <t>301 Haakon Rd.</t>
  </si>
  <si>
    <t>BROOKLAWN</t>
  </si>
  <si>
    <t>Camden City School District</t>
  </si>
  <si>
    <t>Casella</t>
  </si>
  <si>
    <t>jcasella@camden.k12.nj.us</t>
  </si>
  <si>
    <t>201 State Street</t>
  </si>
  <si>
    <t>Wayne</t>
  </si>
  <si>
    <t>Allen</t>
  </si>
  <si>
    <t>Dr. Henry H. Davis Elementary School</t>
  </si>
  <si>
    <t>Montague</t>
  </si>
  <si>
    <t>dmontague@camden.k12.nj.us</t>
  </si>
  <si>
    <t>3425 Cramer Street</t>
  </si>
  <si>
    <t>Dina</t>
  </si>
  <si>
    <t>Darrell</t>
  </si>
  <si>
    <t>Martha F. Wilson Early Childhood Development Center</t>
  </si>
  <si>
    <t>Raquel</t>
  </si>
  <si>
    <t>Garcia-Wade</t>
  </si>
  <si>
    <t>rwade@camden.k12.nj.us</t>
  </si>
  <si>
    <t>1602 Pine Street</t>
  </si>
  <si>
    <t>Camden</t>
  </si>
  <si>
    <t>Octavius V. Catto Community Family School</t>
  </si>
  <si>
    <t>Byron</t>
  </si>
  <si>
    <t>Dixon</t>
  </si>
  <si>
    <t>bdixon@camden.k12.nj.us</t>
  </si>
  <si>
    <t>3100 WESTFIELD AVE</t>
  </si>
  <si>
    <t>Riletta Twyne Cream Early Childhood Center</t>
  </si>
  <si>
    <t>Medinah</t>
  </si>
  <si>
    <t>Dyer</t>
  </si>
  <si>
    <t>mdyer@camden.k12.nj.us</t>
  </si>
  <si>
    <t>1875 Mulford Street</t>
  </si>
  <si>
    <t>Thomas H. Dudley Family School</t>
  </si>
  <si>
    <t>Evelyn</t>
  </si>
  <si>
    <t>eruiz@camden.k12.nj.us</t>
  </si>
  <si>
    <t>2250 Berwick Street</t>
  </si>
  <si>
    <t>Veterans Memorial Family School</t>
  </si>
  <si>
    <t>Sapowsky</t>
  </si>
  <si>
    <t>dsapowsky@camden.k12.nj.us</t>
  </si>
  <si>
    <t>800 N 26th Street</t>
  </si>
  <si>
    <t>Yorkship Elementary School</t>
  </si>
  <si>
    <t>michaelcoleman@camden.k12.nj.us</t>
  </si>
  <si>
    <t>1251 Collings Road</t>
  </si>
  <si>
    <t>Sicklerville</t>
  </si>
  <si>
    <t>School Lead</t>
  </si>
  <si>
    <t>Cherry Hill School District</t>
  </si>
  <si>
    <t>CHERRY HILL</t>
  </si>
  <si>
    <t>Estelle V. Malberg Early Childhood Center</t>
  </si>
  <si>
    <t>Danyelle</t>
  </si>
  <si>
    <t>DEdwards@chclc.org</t>
  </si>
  <si>
    <t>1220 Winston Way</t>
  </si>
  <si>
    <t>Harris</t>
  </si>
  <si>
    <t>Cohen</t>
  </si>
  <si>
    <t>Jared</t>
  </si>
  <si>
    <t>Gleason</t>
  </si>
  <si>
    <t>Alison</t>
  </si>
  <si>
    <t>Clementon Elementary School District</t>
  </si>
  <si>
    <t>Clementon Elementary School</t>
  </si>
  <si>
    <t>Fudurich</t>
  </si>
  <si>
    <t>fudurichj@clemsd.org</t>
  </si>
  <si>
    <t>4 AUDUBON AVE</t>
  </si>
  <si>
    <t>CLEMENTON</t>
  </si>
  <si>
    <t>Collingswood Public School District</t>
  </si>
  <si>
    <t>COLLINGSWOOD</t>
  </si>
  <si>
    <t>Collingswood Pre Sch Penguins Childhood Center</t>
  </si>
  <si>
    <t>Floyd</t>
  </si>
  <si>
    <t>jfloyd@collsk12.org</t>
  </si>
  <si>
    <t>201 Dayton Avenue</t>
  </si>
  <si>
    <t>Collingswood</t>
  </si>
  <si>
    <t>Collingswood Pre School at Oaklyn</t>
  </si>
  <si>
    <t>Solowey</t>
  </si>
  <si>
    <t>esolowey@oaklynschool.org</t>
  </si>
  <si>
    <t>136 Kendall Blvd</t>
  </si>
  <si>
    <t>Oaklyn</t>
  </si>
  <si>
    <t>Thomas Sharp Elementary School</t>
  </si>
  <si>
    <t>Kamilah</t>
  </si>
  <si>
    <t>Hinson</t>
  </si>
  <si>
    <t>khinson@collsk12.org</t>
  </si>
  <si>
    <t>400 COMLY AVE</t>
  </si>
  <si>
    <t>WEST COLLINGSWOOD</t>
  </si>
  <si>
    <t>Zane North Elementary School</t>
  </si>
  <si>
    <t>Genna</t>
  </si>
  <si>
    <t>mgenna@collsk12.org</t>
  </si>
  <si>
    <t>801 STOKES AVENUE</t>
  </si>
  <si>
    <t>Steve</t>
  </si>
  <si>
    <t>VOORHEES</t>
  </si>
  <si>
    <t>Gibbsboro Elementary School District</t>
  </si>
  <si>
    <t>Gibbsboro Elementary School</t>
  </si>
  <si>
    <t>Marcellus</t>
  </si>
  <si>
    <t>jmarcellus@gibbsboroschool.org</t>
  </si>
  <si>
    <t>37 KIRKWOOD RD</t>
  </si>
  <si>
    <t>GIBBSBORO</t>
  </si>
  <si>
    <t>Gloucester City Public School District</t>
  </si>
  <si>
    <t>Cold Springs School</t>
  </si>
  <si>
    <t>Daubert</t>
  </si>
  <si>
    <t>jdaubert@gcsd.k12.nj.us</t>
  </si>
  <si>
    <t>1194 MARKET STREET</t>
  </si>
  <si>
    <t>GLOUCESTER CITY</t>
  </si>
  <si>
    <t>Gloucester Township Public Schools</t>
  </si>
  <si>
    <t>Ann A. Mullen Middle School</t>
  </si>
  <si>
    <t>Rose-Bounds</t>
  </si>
  <si>
    <t>arosebounds@gloucestertownshipschools.org</t>
  </si>
  <si>
    <t>1400 SICKLERVILLE ROAD</t>
  </si>
  <si>
    <t>SICKLERVILLE</t>
  </si>
  <si>
    <t>Cathleen</t>
  </si>
  <si>
    <t>Chews Elementary School</t>
  </si>
  <si>
    <t>LaWayne</t>
  </si>
  <si>
    <t>lwilliams@gloucestertownshipschools.org</t>
  </si>
  <si>
    <t>600 CHEWSLANDING SOMERDALE RD</t>
  </si>
  <si>
    <t>Erial Elementary School</t>
  </si>
  <si>
    <t>Shields</t>
  </si>
  <si>
    <t>bshields@gloucestertownshipschools.org</t>
  </si>
  <si>
    <t>20 ESSEX AVENUE</t>
  </si>
  <si>
    <t>Glen Landing Middle School</t>
  </si>
  <si>
    <t>Takisha</t>
  </si>
  <si>
    <t>tjones@gloucestertownshipschools.org</t>
  </si>
  <si>
    <t>85 LITTLE GLOUCESTER ROAD</t>
  </si>
  <si>
    <t>Gloucester Township Elementary School</t>
  </si>
  <si>
    <t>Jacob</t>
  </si>
  <si>
    <t>Lessman</t>
  </si>
  <si>
    <t>jlessman@gloucestertownshipschools.org</t>
  </si>
  <si>
    <t>270 SOUTH BLACK HORSE PIKE</t>
  </si>
  <si>
    <t>Diana</t>
  </si>
  <si>
    <t>James W. Lilley Elementary School</t>
  </si>
  <si>
    <t>Ferguson</t>
  </si>
  <si>
    <t>eferguson@gloucestertownshipschools.org</t>
  </si>
  <si>
    <t>1275 WILLIAMSTOWN ROAD</t>
  </si>
  <si>
    <t>Union Valley Elementary School</t>
  </si>
  <si>
    <t>Tracy</t>
  </si>
  <si>
    <t>Elwell</t>
  </si>
  <si>
    <t>telwell@gloucestertownshipschools.org</t>
  </si>
  <si>
    <t>1300 JARVIS ROAD</t>
  </si>
  <si>
    <t>Marissa</t>
  </si>
  <si>
    <t>OAKLYN</t>
  </si>
  <si>
    <t>Haddonfield School District</t>
  </si>
  <si>
    <t>Simkus</t>
  </si>
  <si>
    <t>simkus@haddonfield.k12.nj.us</t>
  </si>
  <si>
    <t>THREE LINCOLN AVENUE</t>
  </si>
  <si>
    <t>Wallace</t>
  </si>
  <si>
    <t>Newark</t>
  </si>
  <si>
    <t>Lawnside School District</t>
  </si>
  <si>
    <t>Ronn</t>
  </si>
  <si>
    <t>Johnson</t>
  </si>
  <si>
    <t>ronnjohnson@lawnside.k12.nj.us</t>
  </si>
  <si>
    <t>426 EAST CHARLESTON AVE</t>
  </si>
  <si>
    <t>LAWNSIDE</t>
  </si>
  <si>
    <t>Lindenwold Public School District</t>
  </si>
  <si>
    <t>Lindenwold</t>
  </si>
  <si>
    <t>Lindenwold Preschool Building</t>
  </si>
  <si>
    <t>Patterson</t>
  </si>
  <si>
    <t>jpatterson@lindenwold.k12.nj.us</t>
  </si>
  <si>
    <t>100 South Avenue</t>
  </si>
  <si>
    <t>Magnolia School District</t>
  </si>
  <si>
    <t>Magnolia</t>
  </si>
  <si>
    <t>Sorrentino</t>
  </si>
  <si>
    <t>psorrentino@magnoliaschools.org</t>
  </si>
  <si>
    <t>420 NORTH WARWICK RD</t>
  </si>
  <si>
    <t>MAGNOLIA</t>
  </si>
  <si>
    <t>Cruz</t>
  </si>
  <si>
    <t>Merchantville School District</t>
  </si>
  <si>
    <t>Merchantville Elementary School</t>
  </si>
  <si>
    <t>Strong</t>
  </si>
  <si>
    <t>strong@merchantville.k12.nj.us</t>
  </si>
  <si>
    <t>130 S CENTRE ST</t>
  </si>
  <si>
    <t>MERCHANTVILLE</t>
  </si>
  <si>
    <t>Mt. Ephraim School District</t>
  </si>
  <si>
    <t>Mary Bray Elementary School</t>
  </si>
  <si>
    <t>Schoepflin</t>
  </si>
  <si>
    <t>jschoepflin@mtephraimschools.com</t>
  </si>
  <si>
    <t>225 WEST KINGS HIGHWAY</t>
  </si>
  <si>
    <t>MOUNT EPHRAIM</t>
  </si>
  <si>
    <t>Raymond W. Kershaw School</t>
  </si>
  <si>
    <t>Hunter</t>
  </si>
  <si>
    <t>mhunter@mtephraimschools.com</t>
  </si>
  <si>
    <t>125 SOUTH BLACK HORSE PIKE</t>
  </si>
  <si>
    <t>Oaklyn Public School District</t>
  </si>
  <si>
    <t>Oaklyn Public School</t>
  </si>
  <si>
    <t>Boulden</t>
  </si>
  <si>
    <t>jboulden@oaklynschool.org</t>
  </si>
  <si>
    <t>136 KENDALL BLVD</t>
  </si>
  <si>
    <t>Pennsauken Township Board of Education School District</t>
  </si>
  <si>
    <t>Baldwin Elementary School</t>
  </si>
  <si>
    <t>Gery</t>
  </si>
  <si>
    <t>dgery@pennsauken.net</t>
  </si>
  <si>
    <t>41ST &amp; SHARON TERRACE</t>
  </si>
  <si>
    <t>PENNSAUKEN</t>
  </si>
  <si>
    <t>Benjamin Franklin Elementary School</t>
  </si>
  <si>
    <t>Galloza</t>
  </si>
  <si>
    <t>sgalloza@pennsauken.net</t>
  </si>
  <si>
    <t>7201 IRVING AVENUE</t>
  </si>
  <si>
    <t>Pine Hill School District</t>
  </si>
  <si>
    <t>Dr. Albert M. Bean School</t>
  </si>
  <si>
    <t>Schuster</t>
  </si>
  <si>
    <t>dschuster@pinehillschools.org</t>
  </si>
  <si>
    <t>70 E THIRD AVE</t>
  </si>
  <si>
    <t>PINE HILL</t>
  </si>
  <si>
    <t>John H. Glenn School</t>
  </si>
  <si>
    <t>jvacca@pinehillschools.org</t>
  </si>
  <si>
    <t>1005 TURNERVILLE RD</t>
  </si>
  <si>
    <t>Runnemede Public School District</t>
  </si>
  <si>
    <t>Aline Bingham Elementary School</t>
  </si>
  <si>
    <t>Jade</t>
  </si>
  <si>
    <t>Yezzi</t>
  </si>
  <si>
    <t>jyezzi@runnemedeschools.org</t>
  </si>
  <si>
    <t>100 FIRST &amp; ORCHARD AVE</t>
  </si>
  <si>
    <t>Mary E. Volz Elementary School</t>
  </si>
  <si>
    <t>Pili</t>
  </si>
  <si>
    <t>spili@runnemedeschools.org</t>
  </si>
  <si>
    <t>509 WEST THIRD AVENUE</t>
  </si>
  <si>
    <t>Stratford School District</t>
  </si>
  <si>
    <t>Parkview Elementary School</t>
  </si>
  <si>
    <t>Blumenstein</t>
  </si>
  <si>
    <t>blumensteinb@stratford.k12.nj.us</t>
  </si>
  <si>
    <t>123 PARKVIEW RD</t>
  </si>
  <si>
    <t>STRATFORD</t>
  </si>
  <si>
    <t>Rachelle</t>
  </si>
  <si>
    <t>Voorhees Township School District</t>
  </si>
  <si>
    <t>Kresson School</t>
  </si>
  <si>
    <t>morris@voorhees.k12.nj.us</t>
  </si>
  <si>
    <t>7 SCHOOL LANE</t>
  </si>
  <si>
    <t>Waterford Township School District</t>
  </si>
  <si>
    <t>Atco</t>
  </si>
  <si>
    <t>Thomas Richards Early Childhood Center</t>
  </si>
  <si>
    <t>Davidson</t>
  </si>
  <si>
    <t>pdavidson@wtsd.org</t>
  </si>
  <si>
    <t>934 Lincoln Avenue</t>
  </si>
  <si>
    <t>Winslow Township School District</t>
  </si>
  <si>
    <t>Winslow Township Early Childhood Education Center</t>
  </si>
  <si>
    <t>511 Edwards Ave</t>
  </si>
  <si>
    <t>Chesilhurst</t>
  </si>
  <si>
    <t>Winslow Township Elementary School Four</t>
  </si>
  <si>
    <t>kellylo@winslow-schools.com</t>
  </si>
  <si>
    <t>541 KALI ROAD</t>
  </si>
  <si>
    <t>Winslow Township Elementary School One</t>
  </si>
  <si>
    <t>Nathan</t>
  </si>
  <si>
    <t>davisna@winslow-schools.com</t>
  </si>
  <si>
    <t>413 INSKIP ROAD</t>
  </si>
  <si>
    <t>BLUE ANCHOR</t>
  </si>
  <si>
    <t>Lynette</t>
  </si>
  <si>
    <t>Winslow Township Elementary School Three</t>
  </si>
  <si>
    <t>Tamika</t>
  </si>
  <si>
    <t>Gilbert-Floyd</t>
  </si>
  <si>
    <t>floydta@winslow-schools.com</t>
  </si>
  <si>
    <t>131 SICKLERVILLE ROAD</t>
  </si>
  <si>
    <t>Erika</t>
  </si>
  <si>
    <t>Winslow Township Elementary School Two</t>
  </si>
  <si>
    <t>mcbridch@winslow-schools.com</t>
  </si>
  <si>
    <t>125 First Ave</t>
  </si>
  <si>
    <t>Woodlynne School District</t>
  </si>
  <si>
    <t>Woodlynne Boro Public School</t>
  </si>
  <si>
    <t>Walters</t>
  </si>
  <si>
    <t>jwalters@woodlynne.k12.nj.us</t>
  </si>
  <si>
    <t>131 ELM AVENUE</t>
  </si>
  <si>
    <t>WOODLYNNE</t>
  </si>
  <si>
    <t>CAPE MAY</t>
  </si>
  <si>
    <t>Avalon School District</t>
  </si>
  <si>
    <t>Avalon Elementary School</t>
  </si>
  <si>
    <t>Fox</t>
  </si>
  <si>
    <t>kfox@avesnj.org</t>
  </si>
  <si>
    <t>235 32ND STREET</t>
  </si>
  <si>
    <t>AVALON</t>
  </si>
  <si>
    <t>Cape May City School District</t>
  </si>
  <si>
    <t>Cape May City Elementary School</t>
  </si>
  <si>
    <t>Zachary</t>
  </si>
  <si>
    <t>Palombo</t>
  </si>
  <si>
    <t>zpalombo@cmcboe.net</t>
  </si>
  <si>
    <t>921 LAFAYETTE ST</t>
  </si>
  <si>
    <t>Cape May County Special Services School District</t>
  </si>
  <si>
    <t>Bowers</t>
  </si>
  <si>
    <t>vbowers@cmcspecialservices.org</t>
  </si>
  <si>
    <t>148 CREST HAVEN ROAD</t>
  </si>
  <si>
    <t>CAPE MAY COURT HOUSE</t>
  </si>
  <si>
    <t>Ocean Academy</t>
  </si>
  <si>
    <t>School Director</t>
  </si>
  <si>
    <t>Dennis Township School District</t>
  </si>
  <si>
    <t>601 HAGAN ROAD</t>
  </si>
  <si>
    <t>Dennis Township Primary School</t>
  </si>
  <si>
    <t>Speirs</t>
  </si>
  <si>
    <t>sspeirs@dtschools.org</t>
  </si>
  <si>
    <t>Lower Township Elementary School District</t>
  </si>
  <si>
    <t>Carl T. Mitnick School</t>
  </si>
  <si>
    <t>Howgate</t>
  </si>
  <si>
    <t>rhowgate@lowertwpschools.com</t>
  </si>
  <si>
    <t>905 SEASHORE ROAD</t>
  </si>
  <si>
    <t>David C. Douglass Memorial School</t>
  </si>
  <si>
    <t>Chris</t>
  </si>
  <si>
    <t>Shivers</t>
  </si>
  <si>
    <t>cshivers@lowertwpschools.com</t>
  </si>
  <si>
    <t>2600 BAYSHORE RD</t>
  </si>
  <si>
    <t>VILLAS</t>
  </si>
  <si>
    <t>Middle Township Public School District</t>
  </si>
  <si>
    <t>Middle Township Elementary #1</t>
  </si>
  <si>
    <t>Paskalides</t>
  </si>
  <si>
    <t>paskalidesc@middletwp.k12.nj.us</t>
  </si>
  <si>
    <t>215 ELDREDGE ROAD</t>
  </si>
  <si>
    <t>Cox</t>
  </si>
  <si>
    <t>North Wildwood School District</t>
  </si>
  <si>
    <t>Margaret Mace Elementary School</t>
  </si>
  <si>
    <t>Philip</t>
  </si>
  <si>
    <t>Schaffer</t>
  </si>
  <si>
    <t>pschaffer@mmace.com</t>
  </si>
  <si>
    <t>1201 Atlantic Avenue</t>
  </si>
  <si>
    <t>North Wildwood</t>
  </si>
  <si>
    <t>Ocean City School District</t>
  </si>
  <si>
    <t>OCEAN CITY</t>
  </si>
  <si>
    <t>Ocean City Primary School</t>
  </si>
  <si>
    <t>csmith@ocsdnj.org</t>
  </si>
  <si>
    <t>550 WEST AVENUE</t>
  </si>
  <si>
    <t>Upper Township School District</t>
  </si>
  <si>
    <t>MARMORA</t>
  </si>
  <si>
    <t>Upper Township Primary School</t>
  </si>
  <si>
    <t>gillespie@upperschools.org</t>
  </si>
  <si>
    <t>130 OLD TUCKAHOE RD</t>
  </si>
  <si>
    <t>Wildwood City School District</t>
  </si>
  <si>
    <t>Glenwood Avenue Elementary School</t>
  </si>
  <si>
    <t>LaFerriere</t>
  </si>
  <si>
    <t>tlaferriere@wwschools.org</t>
  </si>
  <si>
    <t>GLENWOOD &amp; NEW YORK AVE</t>
  </si>
  <si>
    <t>WILDWOOD</t>
  </si>
  <si>
    <t>Tricia</t>
  </si>
  <si>
    <t>Powell</t>
  </si>
  <si>
    <t>Jean</t>
  </si>
  <si>
    <t>Wildwood Crest Borough School District</t>
  </si>
  <si>
    <t>Crest Memorial School</t>
  </si>
  <si>
    <t>Lhulier</t>
  </si>
  <si>
    <t>llhulier@crestmem.edu</t>
  </si>
  <si>
    <t>9100 PACIFIC AVE</t>
  </si>
  <si>
    <t>WILDWOOD CREST</t>
  </si>
  <si>
    <t>Mario</t>
  </si>
  <si>
    <t>Woodbine School District</t>
  </si>
  <si>
    <t>Woodbine Elementary School</t>
  </si>
  <si>
    <t>Breitinger</t>
  </si>
  <si>
    <t>abreitinger@woodbine.capemayschools.com</t>
  </si>
  <si>
    <t>801 WEBSTER STREET</t>
  </si>
  <si>
    <t>WOODBINE</t>
  </si>
  <si>
    <t>MIDDLESEX</t>
  </si>
  <si>
    <t>Trenton</t>
  </si>
  <si>
    <t>DiMatteo</t>
  </si>
  <si>
    <t>Jersey City</t>
  </si>
  <si>
    <t>Darren</t>
  </si>
  <si>
    <t>Bridgeton</t>
  </si>
  <si>
    <t>PATERSON</t>
  </si>
  <si>
    <t>100 LINDEN AVE</t>
  </si>
  <si>
    <t>IRVINGTON</t>
  </si>
  <si>
    <t>Conway</t>
  </si>
  <si>
    <t>Jconway@camdencsn.org</t>
  </si>
  <si>
    <t>879 Beideman Ave</t>
  </si>
  <si>
    <t>Somerset</t>
  </si>
  <si>
    <t>CLIFTON</t>
  </si>
  <si>
    <t>UNION</t>
  </si>
  <si>
    <t>Desiree</t>
  </si>
  <si>
    <t>Cook</t>
  </si>
  <si>
    <t>Compass Academy Charter School</t>
  </si>
  <si>
    <t>Alan</t>
  </si>
  <si>
    <t>Burkhardt</t>
  </si>
  <si>
    <t>aburkhardt@compassacs.org</t>
  </si>
  <si>
    <t>23 West Chestnut Ave</t>
  </si>
  <si>
    <t>Vineland</t>
  </si>
  <si>
    <t>SALEM</t>
  </si>
  <si>
    <t>Walter</t>
  </si>
  <si>
    <t>NEWARK</t>
  </si>
  <si>
    <t>Torres</t>
  </si>
  <si>
    <t>EAST ORANGE</t>
  </si>
  <si>
    <t>HOBOKEN</t>
  </si>
  <si>
    <t>Gray</t>
  </si>
  <si>
    <t>Great Oaks Legacy Charter School</t>
  </si>
  <si>
    <t>Taillefer</t>
  </si>
  <si>
    <t>jtaillefer@greatoakslegacy.org</t>
  </si>
  <si>
    <t>909 Broad Street</t>
  </si>
  <si>
    <t>NEW BRUNSWICK</t>
  </si>
  <si>
    <t>Grayson</t>
  </si>
  <si>
    <t>ASBURY PARK</t>
  </si>
  <si>
    <t>Kearny</t>
  </si>
  <si>
    <t>TRENTON</t>
  </si>
  <si>
    <t>JERSEY CITY</t>
  </si>
  <si>
    <t>Alisa</t>
  </si>
  <si>
    <t>Jersey City Golden Door Charter School</t>
  </si>
  <si>
    <t>Tabitha</t>
  </si>
  <si>
    <t>Madera</t>
  </si>
  <si>
    <t>tmadera@goldendoorschool.org</t>
  </si>
  <si>
    <t>3044 Kennedy Blvd</t>
  </si>
  <si>
    <t>John P Holland Charter School School District</t>
  </si>
  <si>
    <t>John P. Holland Charter School</t>
  </si>
  <si>
    <t>Scano</t>
  </si>
  <si>
    <t>cscano@johnpholland.com</t>
  </si>
  <si>
    <t>5 Garret Mountain Plaza</t>
  </si>
  <si>
    <t>Woodland</t>
  </si>
  <si>
    <t>Kennedy</t>
  </si>
  <si>
    <t>Marion P. Thomas Charter School</t>
  </si>
  <si>
    <t>Mincy</t>
  </si>
  <si>
    <t>amincy@mptcs.org</t>
  </si>
  <si>
    <t>125 SUSSEX AVE</t>
  </si>
  <si>
    <t>Hamilton</t>
  </si>
  <si>
    <t>Saulnier</t>
  </si>
  <si>
    <t>Newark Educators Community Charter School</t>
  </si>
  <si>
    <t>Antoine</t>
  </si>
  <si>
    <t>Gayles</t>
  </si>
  <si>
    <t>agayles@newarkeducators.org</t>
  </si>
  <si>
    <t>12 Fulton St</t>
  </si>
  <si>
    <t>OCEAN</t>
  </si>
  <si>
    <t>Lakewood</t>
  </si>
  <si>
    <t>Passaic</t>
  </si>
  <si>
    <t>Yasmeen</t>
  </si>
  <si>
    <t>Sampson</t>
  </si>
  <si>
    <t>ysampson@pacsnewark.org</t>
  </si>
  <si>
    <t>342 Central Avenue</t>
  </si>
  <si>
    <t>PRINCETON</t>
  </si>
  <si>
    <t>Red Bank Charter School</t>
  </si>
  <si>
    <t>Kristen</t>
  </si>
  <si>
    <t>Martello</t>
  </si>
  <si>
    <t>k.martello@redbankcharterschool.com</t>
  </si>
  <si>
    <t>58 OAKLAND STREET</t>
  </si>
  <si>
    <t>RED BANK</t>
  </si>
  <si>
    <t>BLAIRSTOWN</t>
  </si>
  <si>
    <t>SPARTA</t>
  </si>
  <si>
    <t>The Ethical Community Charter School School Distirct</t>
  </si>
  <si>
    <t>The Ethical Community Charter School</t>
  </si>
  <si>
    <t>Chloe</t>
  </si>
  <si>
    <t>chloe.lewis@teccsjc.org</t>
  </si>
  <si>
    <t>95 Broadway</t>
  </si>
  <si>
    <t>The Learning Community Charter School</t>
  </si>
  <si>
    <t>Learning Community Charter School</t>
  </si>
  <si>
    <t>Hogan</t>
  </si>
  <si>
    <t>chogan@lccsnj.org</t>
  </si>
  <si>
    <t>2495 John F Kennedy Blvd</t>
  </si>
  <si>
    <t>PLAINFIELD</t>
  </si>
  <si>
    <t>Pamela</t>
  </si>
  <si>
    <t>MORRISTOWN</t>
  </si>
  <si>
    <t>Vineland Public Charter School</t>
  </si>
  <si>
    <t>Mlarson@cccharters.org</t>
  </si>
  <si>
    <t>1480 Pennsylvania Ave.</t>
  </si>
  <si>
    <t>VINELAND</t>
  </si>
  <si>
    <t>Bridgeton City School District</t>
  </si>
  <si>
    <t>BRIDGETON</t>
  </si>
  <si>
    <t>Silva</t>
  </si>
  <si>
    <t>550 BUCKSHUTEM ROAD</t>
  </si>
  <si>
    <t>Geraldyn O Foster Early Childhood Center</t>
  </si>
  <si>
    <t>Poland</t>
  </si>
  <si>
    <t>Monica.Poland@bridgeton.k12.nj.us</t>
  </si>
  <si>
    <t>Quarter Mile Lane School</t>
  </si>
  <si>
    <t>Esther</t>
  </si>
  <si>
    <t>Ecarter@bridgeton.k12.nj.us</t>
  </si>
  <si>
    <t>300 QUARTER MILE LANE</t>
  </si>
  <si>
    <t>Commercial Township School District</t>
  </si>
  <si>
    <t>Commercial Township School</t>
  </si>
  <si>
    <t>jean.smith@commercialschools.org</t>
  </si>
  <si>
    <t>1308 NORTH AVENUE</t>
  </si>
  <si>
    <t>PORT NORRIS</t>
  </si>
  <si>
    <t>Deerfield Township School District</t>
  </si>
  <si>
    <t>Deerfield Township Elementary School</t>
  </si>
  <si>
    <t>drossi@deerfield.k12.nj.us</t>
  </si>
  <si>
    <t>419  MORTON AVE</t>
  </si>
  <si>
    <t>ROSENHAYN</t>
  </si>
  <si>
    <t>Downe Township School District</t>
  </si>
  <si>
    <t>Downe Township Elementary School</t>
  </si>
  <si>
    <t>smiller@downeschool.org</t>
  </si>
  <si>
    <t>220 MAIN ST</t>
  </si>
  <si>
    <t>NEWPORT</t>
  </si>
  <si>
    <t>Fairfield Township School District</t>
  </si>
  <si>
    <t>Fairfield Township School</t>
  </si>
  <si>
    <t>jjones@fairfield.k12.nj.us</t>
  </si>
  <si>
    <t>375 GOULDTOWN  WOODRUFF ROAD</t>
  </si>
  <si>
    <t>Greenwich Township School District</t>
  </si>
  <si>
    <t>Morris Goodwin School</t>
  </si>
  <si>
    <t>Cobb</t>
  </si>
  <si>
    <t>brandon.cobb@MORRISGOODWINSCHOOL.ORG</t>
  </si>
  <si>
    <t>839 YE GREATE STREET</t>
  </si>
  <si>
    <t>GREENWICH</t>
  </si>
  <si>
    <t>Hopewell Township School District</t>
  </si>
  <si>
    <t>Hopewell Crest</t>
  </si>
  <si>
    <t>MEGHAN</t>
  </si>
  <si>
    <t>LAMMERSEN</t>
  </si>
  <si>
    <t>mlammersen@hopewellcrest.org</t>
  </si>
  <si>
    <t>122 SEWALL ROAD</t>
  </si>
  <si>
    <t>Lawrence Township School District</t>
  </si>
  <si>
    <t>Myron L. Powell Elementary School</t>
  </si>
  <si>
    <t>Mike</t>
  </si>
  <si>
    <t>Coyle</t>
  </si>
  <si>
    <t>mcoyle@myronlpowell.org</t>
  </si>
  <si>
    <t>225 MAIN STREET</t>
  </si>
  <si>
    <t>CEDARVILLE</t>
  </si>
  <si>
    <t>Maurice River Township School District</t>
  </si>
  <si>
    <t>Maurice River Township School</t>
  </si>
  <si>
    <t>CASSADY</t>
  </si>
  <si>
    <t>kcassady@mrtes.com</t>
  </si>
  <si>
    <t>3593 RT 47</t>
  </si>
  <si>
    <t>PORT ELIZABETH</t>
  </si>
  <si>
    <t>Millville School District</t>
  </si>
  <si>
    <t>Child Family Center</t>
  </si>
  <si>
    <t>JoAnn</t>
  </si>
  <si>
    <t>joann.burns@millville.org</t>
  </si>
  <si>
    <t>1100 COOMBS RD.</t>
  </si>
  <si>
    <t>MILLVILLE</t>
  </si>
  <si>
    <t>Jaime</t>
  </si>
  <si>
    <t>Stow Creek Township School District</t>
  </si>
  <si>
    <t>Stow Creek Township School</t>
  </si>
  <si>
    <t>brandon.cobb@STOWCREEKSCHOOL.COM</t>
  </si>
  <si>
    <t>11 GUM TREE CORNER ROAD</t>
  </si>
  <si>
    <t>Upper Deerfield Township School District</t>
  </si>
  <si>
    <t>Charles F. Seabrook School</t>
  </si>
  <si>
    <t>Frassetto</t>
  </si>
  <si>
    <t>frassettol@udts.org</t>
  </si>
  <si>
    <t>1373 Highway 77</t>
  </si>
  <si>
    <t>SEABROOK</t>
  </si>
  <si>
    <t>Rivera</t>
  </si>
  <si>
    <t>Harold</t>
  </si>
  <si>
    <t>Vineland Public School District</t>
  </si>
  <si>
    <t>Casimer M. Dallago Jr. Impact Center</t>
  </si>
  <si>
    <t>Hannagan-Painter</t>
  </si>
  <si>
    <t>mhannagan-painter@vineland.org</t>
  </si>
  <si>
    <t>240 S. Sixth Street</t>
  </si>
  <si>
    <t>Dawn</t>
  </si>
  <si>
    <t>Luciano</t>
  </si>
  <si>
    <t>Belleville Public School District</t>
  </si>
  <si>
    <t>BELLEVILLE</t>
  </si>
  <si>
    <t>Belleville PS10</t>
  </si>
  <si>
    <t>Calhoun</t>
  </si>
  <si>
    <t>maria.calhoun@bellevilleschools.org</t>
  </si>
  <si>
    <t>527 BELLEVILLE AVE</t>
  </si>
  <si>
    <t>Belleville PS4</t>
  </si>
  <si>
    <t>Dora</t>
  </si>
  <si>
    <t>Cavallo</t>
  </si>
  <si>
    <t>dora.cavallo@bellevilleschools.org</t>
  </si>
  <si>
    <t>30 Magnolia Street</t>
  </si>
  <si>
    <t>Belleville PS5</t>
  </si>
  <si>
    <t>Gilligan</t>
  </si>
  <si>
    <t>maryann.gilligan@bellevilleschools.org</t>
  </si>
  <si>
    <t>149 ADELAIDE ST</t>
  </si>
  <si>
    <t>Belleville PS7</t>
  </si>
  <si>
    <t>Belton</t>
  </si>
  <si>
    <t>brian.belton@bellevilleschools.org</t>
  </si>
  <si>
    <t>20 PASSAIC AVE</t>
  </si>
  <si>
    <t>Belleville PS8</t>
  </si>
  <si>
    <t>Rotonda</t>
  </si>
  <si>
    <t>joseph.rotonda@bellevilleschools.org</t>
  </si>
  <si>
    <t>183 UNION AVE</t>
  </si>
  <si>
    <t>Hornblower Early Childhood Center</t>
  </si>
  <si>
    <t>Sharkey</t>
  </si>
  <si>
    <t>shannon.sharkey@bellevilleschools.org</t>
  </si>
  <si>
    <t>229 Main Street</t>
  </si>
  <si>
    <t>Belleville</t>
  </si>
  <si>
    <t>Bloomfield Township School District</t>
  </si>
  <si>
    <t>Bloomfield</t>
  </si>
  <si>
    <t>Acosta</t>
  </si>
  <si>
    <t>Marianne</t>
  </si>
  <si>
    <t>Abbasso</t>
  </si>
  <si>
    <t>mabbasso@bloomfield.k12.nj.us</t>
  </si>
  <si>
    <t>85 Curtis Street</t>
  </si>
  <si>
    <t>The Early Childhood Center @ Forest Glen</t>
  </si>
  <si>
    <t>Doyle-Marino</t>
  </si>
  <si>
    <t>hdmarino@bloomfield.k12.nj.us</t>
  </si>
  <si>
    <t>280 Davey Street</t>
  </si>
  <si>
    <t>Caldwell-West School District</t>
  </si>
  <si>
    <t>CALDWELL</t>
  </si>
  <si>
    <t>Kiersten</t>
  </si>
  <si>
    <t>Harrison School</t>
  </si>
  <si>
    <t>Madara</t>
  </si>
  <si>
    <t>emadara@cwcboe.org</t>
  </si>
  <si>
    <t>104 Gray Street</t>
  </si>
  <si>
    <t>West Caldwell</t>
  </si>
  <si>
    <t>WEST CALDWELL</t>
  </si>
  <si>
    <t>Geher</t>
  </si>
  <si>
    <t>ageher@cwcboe.org</t>
  </si>
  <si>
    <t>18 CRANE ST</t>
  </si>
  <si>
    <t>Adamo</t>
  </si>
  <si>
    <t>tadamo@cwcboe.org</t>
  </si>
  <si>
    <t>201 CENTRAL AVE</t>
  </si>
  <si>
    <t>Cedar Grove Township School District</t>
  </si>
  <si>
    <t>Jody</t>
  </si>
  <si>
    <t>Cedar Grove</t>
  </si>
  <si>
    <t>North End Elementary School</t>
  </si>
  <si>
    <t>dyer.traci@cgschools.org</t>
  </si>
  <si>
    <t>122 Stevens Avenue</t>
  </si>
  <si>
    <t>South End Elementary School</t>
  </si>
  <si>
    <t>Dimatteo.Lynn@cgschools.org</t>
  </si>
  <si>
    <t>116 Harper Terrace</t>
  </si>
  <si>
    <t>East Orange School District</t>
  </si>
  <si>
    <t>Althea Gibson Academy</t>
  </si>
  <si>
    <t>renee.richardson@eastorange.k12.nj.us</t>
  </si>
  <si>
    <t>490  WILLIAM STREET</t>
  </si>
  <si>
    <t>Benjamin Banneker Academy</t>
  </si>
  <si>
    <t>Burton</t>
  </si>
  <si>
    <t>m.burton@eastorange.k12.nj.us</t>
  </si>
  <si>
    <t>500 South Clinton Street</t>
  </si>
  <si>
    <t>Cicely L. Tyson Community Elementary School</t>
  </si>
  <si>
    <t>Koree</t>
  </si>
  <si>
    <t>Toles</t>
  </si>
  <si>
    <t>k.knight@eastorange.k12.nj.us</t>
  </si>
  <si>
    <t>45 North Arlington Street</t>
  </si>
  <si>
    <t>Carl</t>
  </si>
  <si>
    <t>Dionne Warwick Institute</t>
  </si>
  <si>
    <t>Passion</t>
  </si>
  <si>
    <t>Moss-Hasan</t>
  </si>
  <si>
    <t>passion.moss-hasan@eastorange.k12.nj.us</t>
  </si>
  <si>
    <t>120 CENTRAL AVE</t>
  </si>
  <si>
    <t>Ecole Toussaint Louverture</t>
  </si>
  <si>
    <t>Ameenah</t>
  </si>
  <si>
    <t>Poole</t>
  </si>
  <si>
    <t>ameenah.poole@eastorange.k12.nj.us</t>
  </si>
  <si>
    <t>330 CENTRAL AVE</t>
  </si>
  <si>
    <t>Heaphy</t>
  </si>
  <si>
    <t>b.heaphy@eastorange.k12.nj.us</t>
  </si>
  <si>
    <t>180 Lincoln Street</t>
  </si>
  <si>
    <t>Gordon Parks Academy</t>
  </si>
  <si>
    <t>Alsbrook Davis</t>
  </si>
  <si>
    <t>s.alsbrook@eastorange.k12.nj.us</t>
  </si>
  <si>
    <t>98 GREENWOOD AVE</t>
  </si>
  <si>
    <t>J. Garfield Jackson Sr. Academy</t>
  </si>
  <si>
    <t>Crystal</t>
  </si>
  <si>
    <t>crystal.davis@eastorange.k12.nj.us</t>
  </si>
  <si>
    <t>106 PROSPECT STREET</t>
  </si>
  <si>
    <t>Langston Hughes Elementary School</t>
  </si>
  <si>
    <t>Howard</t>
  </si>
  <si>
    <t>h.walker@eastorange.k12.nj.us</t>
  </si>
  <si>
    <t>160 Rhode Island Avenue</t>
  </si>
  <si>
    <t>Mildred Barry Garvin Elementary</t>
  </si>
  <si>
    <t>Ivy</t>
  </si>
  <si>
    <t>Peeples</t>
  </si>
  <si>
    <t>ivy.peeples@eastorange.k12.nj.us</t>
  </si>
  <si>
    <t>1 GROVE PLACE</t>
  </si>
  <si>
    <t>Shelia Y. Oliver Academy</t>
  </si>
  <si>
    <t>Yvy</t>
  </si>
  <si>
    <t>y.joseph@eastorange.k12.nj.us</t>
  </si>
  <si>
    <t>404 North Grove Street</t>
  </si>
  <si>
    <t>Wahlstrom Early Childhood Academy</t>
  </si>
  <si>
    <t>Shults</t>
  </si>
  <si>
    <t>l.shults@eastorange.k12.nj.us</t>
  </si>
  <si>
    <t>340 PROSPECT STREET</t>
  </si>
  <si>
    <t>Whitney E. Houston Academy</t>
  </si>
  <si>
    <t>h.hamilton@eastorange.k12.nj.us</t>
  </si>
  <si>
    <t>215 DODD ST</t>
  </si>
  <si>
    <t>Love</t>
  </si>
  <si>
    <t>FAIRFIELD</t>
  </si>
  <si>
    <t>Fairfield Public School District</t>
  </si>
  <si>
    <t>Adlai E. Stevenson School</t>
  </si>
  <si>
    <t>Trabucco</t>
  </si>
  <si>
    <t>trabuccom@fpsk6.org</t>
  </si>
  <si>
    <t>15 KNOLL ROAD</t>
  </si>
  <si>
    <t>Glen Ridge Public School District</t>
  </si>
  <si>
    <t>Keisha</t>
  </si>
  <si>
    <t>kharris@glenridge.org</t>
  </si>
  <si>
    <t>180 Hillside Ave</t>
  </si>
  <si>
    <t>Glen Ridge</t>
  </si>
  <si>
    <t>Forest Avenue School</t>
  </si>
  <si>
    <t>mmurphy@glenridge.org</t>
  </si>
  <si>
    <t>287 FOREST AVE</t>
  </si>
  <si>
    <t>GLEN RIDGE</t>
  </si>
  <si>
    <t>Irvington Public School District</t>
  </si>
  <si>
    <t>Augusta Preschool Academy</t>
  </si>
  <si>
    <t>slove@IRVINGTON.K12.NJ.US</t>
  </si>
  <si>
    <t>97 AUGUSTA STREET</t>
  </si>
  <si>
    <t>Berkeley Terrace Elementary School</t>
  </si>
  <si>
    <t>Leon</t>
  </si>
  <si>
    <t>lwallace@irvington.k12.nj.us</t>
  </si>
  <si>
    <t>787     GROVE STREET</t>
  </si>
  <si>
    <t>Grove Street Elementary School</t>
  </si>
  <si>
    <t>Deniese</t>
  </si>
  <si>
    <t>dcoopr@irvington.k12.nj.us</t>
  </si>
  <si>
    <t>602 GROVE STREET</t>
  </si>
  <si>
    <t>Madison Avenue</t>
  </si>
  <si>
    <t>Malikita</t>
  </si>
  <si>
    <t>Wright</t>
  </si>
  <si>
    <t>mwright@irvington.k12.nj.us</t>
  </si>
  <si>
    <t>173 Madison Avenue</t>
  </si>
  <si>
    <t>Mt. Vernon Avenue Elementary School</t>
  </si>
  <si>
    <t>Edna</t>
  </si>
  <si>
    <t>Correia</t>
  </si>
  <si>
    <t>ecorreia@irvington.k12.nj.us</t>
  </si>
  <si>
    <t>54 MT   VERNON AVENUE</t>
  </si>
  <si>
    <t>Thurgood Marshall Elementary School</t>
  </si>
  <si>
    <t>Ramirez</t>
  </si>
  <si>
    <t>lramirez@irvington.k12.nj.us</t>
  </si>
  <si>
    <t>141  181 MONTGOMERY AVENUE</t>
  </si>
  <si>
    <t>University Elementary School</t>
  </si>
  <si>
    <t>Chinaire</t>
  </si>
  <si>
    <t>Simons</t>
  </si>
  <si>
    <t>csimons@irvington.k12.nj.us</t>
  </si>
  <si>
    <t>1 UNIVERSITY PLACE</t>
  </si>
  <si>
    <t>Livingston Board of Education School District</t>
  </si>
  <si>
    <t>Burnet Hill Elementary School</t>
  </si>
  <si>
    <t>Sama Barreto</t>
  </si>
  <si>
    <t>lsamabarreto@livingston.org</t>
  </si>
  <si>
    <t>25 BYRON PLACE</t>
  </si>
  <si>
    <t>LIVINGSTON</t>
  </si>
  <si>
    <t>Millburn Township School District</t>
  </si>
  <si>
    <t>MILLBURN</t>
  </si>
  <si>
    <t>South Mountain School</t>
  </si>
  <si>
    <t>Wolfe</t>
  </si>
  <si>
    <t>scott.wolfe@millburn.org</t>
  </si>
  <si>
    <t>2 SOUTHERN SLOPE DRIVE</t>
  </si>
  <si>
    <t>Mercurio</t>
  </si>
  <si>
    <t>peter.mercurio@millburn.org</t>
  </si>
  <si>
    <t>71 Spring Street</t>
  </si>
  <si>
    <t>Millburn</t>
  </si>
  <si>
    <t>Montclair Public School District</t>
  </si>
  <si>
    <t>MONTCLAIR</t>
  </si>
  <si>
    <t>Gutierrez</t>
  </si>
  <si>
    <t>Acevedo</t>
  </si>
  <si>
    <t>Nishuane Elementary School</t>
  </si>
  <si>
    <t>Sedita</t>
  </si>
  <si>
    <t>fsedita@montclair.k12.nj.us</t>
  </si>
  <si>
    <t>32 CEDAR AVE</t>
  </si>
  <si>
    <t>Newark Public School District</t>
  </si>
  <si>
    <t>Abington Avenue School</t>
  </si>
  <si>
    <t>Alejandro</t>
  </si>
  <si>
    <t>Echevarria</t>
  </si>
  <si>
    <t>AEchevarria@nps.k12.nj.us</t>
  </si>
  <si>
    <t>209 Abington Avenue</t>
  </si>
  <si>
    <t>Isabel</t>
  </si>
  <si>
    <t>McCormick</t>
  </si>
  <si>
    <t>Avon Avenue School</t>
  </si>
  <si>
    <t>Kinyetta</t>
  </si>
  <si>
    <t>Kbird@nps.k12.nj.us</t>
  </si>
  <si>
    <t>219 AVON AVE</t>
  </si>
  <si>
    <t>Janet</t>
  </si>
  <si>
    <t>Belmont Runyon Elementary School</t>
  </si>
  <si>
    <t>R2Williams@NPS.K12.NJ.US</t>
  </si>
  <si>
    <t>1 BELMONT RUNYON WAY</t>
  </si>
  <si>
    <t>Branch Brook School</t>
  </si>
  <si>
    <t>mmitchell@nps.k12.nj.us</t>
  </si>
  <si>
    <t>228 RIDGE ST</t>
  </si>
  <si>
    <t>Bruce Street School</t>
  </si>
  <si>
    <t>Malcolm</t>
  </si>
  <si>
    <t>Terrell</t>
  </si>
  <si>
    <t>MTerrell@NPS.K12.NJ.US</t>
  </si>
  <si>
    <t>333 CLINTON PL</t>
  </si>
  <si>
    <t>Camden Street Elementary School</t>
  </si>
  <si>
    <t>Garrison</t>
  </si>
  <si>
    <t>sgarrison@nps.k12.nj.us</t>
  </si>
  <si>
    <t>281 CAMDEN ST</t>
  </si>
  <si>
    <t>Chancellor Avenue School</t>
  </si>
  <si>
    <t>Kashon</t>
  </si>
  <si>
    <t>Lopes</t>
  </si>
  <si>
    <t>klopes@NPS.K12.NJ.US</t>
  </si>
  <si>
    <t>321 CHANCELLOR AVE</t>
  </si>
  <si>
    <t>Dr. E. Alma Flagg School</t>
  </si>
  <si>
    <t>Filipa</t>
  </si>
  <si>
    <t>fsilva@nps.k12.nj.us</t>
  </si>
  <si>
    <t>150 THIRD ST</t>
  </si>
  <si>
    <t>Dr. William H. Horton Elementary School</t>
  </si>
  <si>
    <t>Marvelis</t>
  </si>
  <si>
    <t>Perreira</t>
  </si>
  <si>
    <t>mperreira@nps.k12.nj.us</t>
  </si>
  <si>
    <t>291 N 7TH ST</t>
  </si>
  <si>
    <t>Anderson</t>
  </si>
  <si>
    <t>East Ward Elementary School</t>
  </si>
  <si>
    <t>Rosa</t>
  </si>
  <si>
    <t>Monteiro-Inacio</t>
  </si>
  <si>
    <t>rinacio@nps.k12.nj.us</t>
  </si>
  <si>
    <t>104 Oliver Street</t>
  </si>
  <si>
    <t>Elliott Street Elementary School</t>
  </si>
  <si>
    <t>Andres</t>
  </si>
  <si>
    <t>Barquin</t>
  </si>
  <si>
    <t>abarquin@nps.k12.nj.us</t>
  </si>
  <si>
    <t>721 Summer Avenue</t>
  </si>
  <si>
    <t>First Avenue School</t>
  </si>
  <si>
    <t>Neysa</t>
  </si>
  <si>
    <t>NMiranda@nps.k12.nj.us</t>
  </si>
  <si>
    <t>214 FIRST AVE</t>
  </si>
  <si>
    <t>Fourteenth Avenue School</t>
  </si>
  <si>
    <t>Armando</t>
  </si>
  <si>
    <t>Cepero</t>
  </si>
  <si>
    <t>acepero@nps.k12.nj.us</t>
  </si>
  <si>
    <t>26 Speedway Ave</t>
  </si>
  <si>
    <t>Spat</t>
  </si>
  <si>
    <t>rspat@nps.k12.nj.us</t>
  </si>
  <si>
    <t>42 PARK AVE</t>
  </si>
  <si>
    <t>George Washington Carver Elementary School</t>
  </si>
  <si>
    <t>Grover Cleveland Elementary School</t>
  </si>
  <si>
    <t>Yakima</t>
  </si>
  <si>
    <t>y1jackson@nps.k12.nj.us</t>
  </si>
  <si>
    <t>388 BERGEN ST</t>
  </si>
  <si>
    <t>Harriet Tubman Elementary School</t>
  </si>
  <si>
    <t>addavis@nps.k12.nj.us</t>
  </si>
  <si>
    <t>504 S TENTH ST</t>
  </si>
  <si>
    <t>Hawthorne Avenue School</t>
  </si>
  <si>
    <t>Grady</t>
  </si>
  <si>
    <t>HJames@nps.k12.nj.us</t>
  </si>
  <si>
    <t>428 HAWTHORNE AVE</t>
  </si>
  <si>
    <t>Ivy Hill Elementary School</t>
  </si>
  <si>
    <t>Dorrice</t>
  </si>
  <si>
    <t>Rayam-Johnson</t>
  </si>
  <si>
    <t>D1Rayam@nps.k12.nj.us</t>
  </si>
  <si>
    <t>107 IVY STREET</t>
  </si>
  <si>
    <t>Lafayette Street School</t>
  </si>
  <si>
    <t>Pereira</t>
  </si>
  <si>
    <t>d1pereira@nps.k12.nj.us</t>
  </si>
  <si>
    <t>205 LAFAYETTE ST</t>
  </si>
  <si>
    <t>Dow</t>
  </si>
  <si>
    <t>hdow@nps.k12.nj.us</t>
  </si>
  <si>
    <t>87 RICHELIEU TER</t>
  </si>
  <si>
    <t>Louise A. Spencer Elementary School</t>
  </si>
  <si>
    <t>Karla</t>
  </si>
  <si>
    <t>Venezia</t>
  </si>
  <si>
    <t>kvenezia@nps.k12.nj.us</t>
  </si>
  <si>
    <t>66 MUHAMMAD ALI AVENUE</t>
  </si>
  <si>
    <t>Luis Muñoz Marin Elementary School</t>
  </si>
  <si>
    <t>Guerra</t>
  </si>
  <si>
    <t>DGuerra@NPS.K12.NJ.US</t>
  </si>
  <si>
    <t>663 Broadway</t>
  </si>
  <si>
    <t>McKinley Elementary School</t>
  </si>
  <si>
    <t>Dortrait</t>
  </si>
  <si>
    <t>ldortrait@nps.k12.nj.us</t>
  </si>
  <si>
    <t>1 COLONNADE PL</t>
  </si>
  <si>
    <t>Michelle Obama Elementary School</t>
  </si>
  <si>
    <t>LaShonda</t>
  </si>
  <si>
    <t>Gilliam</t>
  </si>
  <si>
    <t>lgilliam@nps.k12.nj.us</t>
  </si>
  <si>
    <t>186 14th Avenue</t>
  </si>
  <si>
    <t>Mt Vernon Place School</t>
  </si>
  <si>
    <t>Serenia</t>
  </si>
  <si>
    <t>Farrell</t>
  </si>
  <si>
    <t>sfarrell@nps.k12.nj.us</t>
  </si>
  <si>
    <t>142 MOUNT VERNON PL</t>
  </si>
  <si>
    <t>Nelson Mandela Elementary School</t>
  </si>
  <si>
    <t>Silver</t>
  </si>
  <si>
    <t>rsilver@NPS.K12.NJ.US</t>
  </si>
  <si>
    <t>74 Hartford St</t>
  </si>
  <si>
    <t>Liana</t>
  </si>
  <si>
    <t>Oliver Street School</t>
  </si>
  <si>
    <t>Henriques</t>
  </si>
  <si>
    <t>Lhenriques@nps.k12.nj.us</t>
  </si>
  <si>
    <t>86 OLIVER ST</t>
  </si>
  <si>
    <t>Quinones</t>
  </si>
  <si>
    <t>Park Elementary School</t>
  </si>
  <si>
    <t>Panitch</t>
  </si>
  <si>
    <t>APanitch@nps.k12.nj.us</t>
  </si>
  <si>
    <t>120 MANCHESTER PLACE</t>
  </si>
  <si>
    <t>Peshine Avenue School</t>
  </si>
  <si>
    <t>Ganiat</t>
  </si>
  <si>
    <t>Rufai</t>
  </si>
  <si>
    <t>grufai@nps.k12.nj.us</t>
  </si>
  <si>
    <t>433 Peshine Avenue</t>
  </si>
  <si>
    <t>Quitman Street School</t>
  </si>
  <si>
    <t>cjohnson@nps.k12.nj.us</t>
  </si>
  <si>
    <t>21 QUITMAN ST</t>
  </si>
  <si>
    <t>Rafael Hernandez School</t>
  </si>
  <si>
    <t>Rios</t>
  </si>
  <si>
    <t>jrios@nps.k12.nj.us</t>
  </si>
  <si>
    <t>345 BROADWAY</t>
  </si>
  <si>
    <t>Ridge Street School</t>
  </si>
  <si>
    <t>DeOliveira</t>
  </si>
  <si>
    <t>d1DeOliveira@nps.k12.nj.us</t>
  </si>
  <si>
    <t>735 RIDGE ST</t>
  </si>
  <si>
    <t>Roberto Clemente Elementary School</t>
  </si>
  <si>
    <t>Claudio</t>
  </si>
  <si>
    <t>Barbaran</t>
  </si>
  <si>
    <t>CBarbaran@NPS.K12.NJ.US</t>
  </si>
  <si>
    <t>257 SUMMER AVE</t>
  </si>
  <si>
    <t>Salome Ureña Elementary School</t>
  </si>
  <si>
    <t>L2Rodriguez@nps.k12.nj.us</t>
  </si>
  <si>
    <t>284 First Avenue</t>
  </si>
  <si>
    <t>Sir Isaac Newton Elementary School</t>
  </si>
  <si>
    <t>Wicks</t>
  </si>
  <si>
    <t>twicks@nps.k12.nj.us</t>
  </si>
  <si>
    <t>150 Newton Street</t>
  </si>
  <si>
    <t>South 17th Street School</t>
  </si>
  <si>
    <t>Clarence</t>
  </si>
  <si>
    <t>c1allen@nps.k12.nj.us</t>
  </si>
  <si>
    <t>619 S SEVENTEENTH ST</t>
  </si>
  <si>
    <t>South Street Elementary School</t>
  </si>
  <si>
    <t>scruz@nps.k12.nj.us</t>
  </si>
  <si>
    <t>44-48 Hermon Street</t>
  </si>
  <si>
    <t>Speedway Avenue School</t>
  </si>
  <si>
    <t>Jiles</t>
  </si>
  <si>
    <t>ajiles@NPS.K12.NJ.US</t>
  </si>
  <si>
    <t>701 SOUTH ORANGE AVENUE</t>
  </si>
  <si>
    <t>Sussex Avenue School</t>
  </si>
  <si>
    <t>Ryshan</t>
  </si>
  <si>
    <t>rrjohnson@nps.k12.nj.us</t>
  </si>
  <si>
    <t>307 SUSSEX AVE</t>
  </si>
  <si>
    <t>Thirteenth Avenue School</t>
  </si>
  <si>
    <t>Thalia</t>
  </si>
  <si>
    <t>Brownridge-Smith</t>
  </si>
  <si>
    <t>tbrownridge@NPS.K12.NJ.US</t>
  </si>
  <si>
    <t>359 THIRTEENTH AVE</t>
  </si>
  <si>
    <t>Hammond</t>
  </si>
  <si>
    <t>Nutley Public School District</t>
  </si>
  <si>
    <t>NUTLEY</t>
  </si>
  <si>
    <t>Spring Garden School</t>
  </si>
  <si>
    <t>LaGuardia</t>
  </si>
  <si>
    <t>llaguardia@nutleyschools.org</t>
  </si>
  <si>
    <t>59 S SPRING GARDEN AVE</t>
  </si>
  <si>
    <t>djones@nutleyschools.org</t>
  </si>
  <si>
    <t>155 WASHINGTON AVE</t>
  </si>
  <si>
    <t>Kelli</t>
  </si>
  <si>
    <t>ORANGE BOARD OF EDUCATION School District</t>
  </si>
  <si>
    <t>Orange</t>
  </si>
  <si>
    <t>ORANGE</t>
  </si>
  <si>
    <t>Forest Street Community Elementary School</t>
  </si>
  <si>
    <t>YANCISCA</t>
  </si>
  <si>
    <t>LOFTEN-COOKE</t>
  </si>
  <si>
    <t>Cookeyan@orange.k12.nj.us</t>
  </si>
  <si>
    <t>651 FOREST ST</t>
  </si>
  <si>
    <t>Heywood Avenue Elementary School</t>
  </si>
  <si>
    <t>Richele</t>
  </si>
  <si>
    <t>Woods</t>
  </si>
  <si>
    <t>woodsric@orange.k12.nj.us</t>
  </si>
  <si>
    <t>421 HEYWOOD AVE</t>
  </si>
  <si>
    <t>Oakwood Avenue Community School</t>
  </si>
  <si>
    <t>Gaines</t>
  </si>
  <si>
    <t>gaindana@orange.k12.nj.us</t>
  </si>
  <si>
    <t>135 OAKWOOD AVE</t>
  </si>
  <si>
    <t>Orange Early Childhood Center</t>
  </si>
  <si>
    <t>Pettit</t>
  </si>
  <si>
    <t>Pettitro@orange.k12.nj.us</t>
  </si>
  <si>
    <t>397 Park Avenue</t>
  </si>
  <si>
    <t>Park Avenue Elementary School</t>
  </si>
  <si>
    <t>coxnatas@orange.k12.nj.us</t>
  </si>
  <si>
    <t>231 PARK AVE</t>
  </si>
  <si>
    <t>South Orange</t>
  </si>
  <si>
    <t>South Orange-Maplewood School District</t>
  </si>
  <si>
    <t>Montrose Early Childhood Center</t>
  </si>
  <si>
    <t>Leroy</t>
  </si>
  <si>
    <t>ljohnso3@somsd.k12.nj.us</t>
  </si>
  <si>
    <t>358 Clark Street</t>
  </si>
  <si>
    <t>Verona Public School District</t>
  </si>
  <si>
    <t>VERONA</t>
  </si>
  <si>
    <t>Monacelli</t>
  </si>
  <si>
    <t>jmonacelli@veronaschools.org</t>
  </si>
  <si>
    <t>118 FOREST AVE</t>
  </si>
  <si>
    <t>Laning Avenue School</t>
  </si>
  <si>
    <t>Freund</t>
  </si>
  <si>
    <t>hfreund@veronaschools.org</t>
  </si>
  <si>
    <t>18 LANNING RD</t>
  </si>
  <si>
    <t>West Orange Public Schools</t>
  </si>
  <si>
    <t>Betty Maddalena Early Learning Center</t>
  </si>
  <si>
    <t>Salimbeno</t>
  </si>
  <si>
    <t>csalimbeno@westorangeschools.org</t>
  </si>
  <si>
    <t>747 Nothfield Avenue</t>
  </si>
  <si>
    <t>West Orange</t>
  </si>
  <si>
    <t>W ORANGE</t>
  </si>
  <si>
    <t>Hewitt</t>
  </si>
  <si>
    <t>DeMaio</t>
  </si>
  <si>
    <t>mdemaio@westorangeschools.org</t>
  </si>
  <si>
    <t>289 MAIN ST</t>
  </si>
  <si>
    <t>West Orange Early Childhood Learning Center</t>
  </si>
  <si>
    <t>Kalisha</t>
  </si>
  <si>
    <t>Dorlean</t>
  </si>
  <si>
    <t>kdorlean@westorangeschools.org</t>
  </si>
  <si>
    <t>242 Main Street</t>
  </si>
  <si>
    <t>Clayton Public School District</t>
  </si>
  <si>
    <t>CLAYTON</t>
  </si>
  <si>
    <t>Herma S. Simmons Elementary School</t>
  </si>
  <si>
    <t>Fragoso</t>
  </si>
  <si>
    <t>afragoso@claytonps.org</t>
  </si>
  <si>
    <t>300 WEST CHESTNUT STREET</t>
  </si>
  <si>
    <t>MULLICA HILL</t>
  </si>
  <si>
    <t>Deptford Township Public School District</t>
  </si>
  <si>
    <t>Central Early Childhood Center</t>
  </si>
  <si>
    <t>Shelli</t>
  </si>
  <si>
    <t>jones.s@deptford.k12.nj.us</t>
  </si>
  <si>
    <t>1040 Monmouth Road</t>
  </si>
  <si>
    <t>DEPTFORD</t>
  </si>
  <si>
    <t>SEWELL</t>
  </si>
  <si>
    <t>WESTVILLE</t>
  </si>
  <si>
    <t>East Greenwich Township School District</t>
  </si>
  <si>
    <t>Jeffrey Clark School</t>
  </si>
  <si>
    <t>Loggia</t>
  </si>
  <si>
    <t>loggiaj@eastgreenwich.k12.nj.us</t>
  </si>
  <si>
    <t>7 QUAKER RD</t>
  </si>
  <si>
    <t>MICKLETON</t>
  </si>
  <si>
    <t>Elk Township School District</t>
  </si>
  <si>
    <t>Aura Elementary School</t>
  </si>
  <si>
    <t>Briean</t>
  </si>
  <si>
    <t>Madden</t>
  </si>
  <si>
    <t>maddenb@auraelementary.us</t>
  </si>
  <si>
    <t>900 Clems Run</t>
  </si>
  <si>
    <t>GLASSBORO</t>
  </si>
  <si>
    <t>WOODBURY HTS</t>
  </si>
  <si>
    <t>Glassboro School District</t>
  </si>
  <si>
    <t>Glassboro</t>
  </si>
  <si>
    <t>Monique</t>
  </si>
  <si>
    <t>J. Harvey Rodgers School</t>
  </si>
  <si>
    <t>Sweeney</t>
  </si>
  <si>
    <t>msweeney@gpsd.us</t>
  </si>
  <si>
    <t>301 Georgetown Rd</t>
  </si>
  <si>
    <t>Kerr</t>
  </si>
  <si>
    <t>Gloucester County Special Services School District</t>
  </si>
  <si>
    <t>Bankbridge Regional School</t>
  </si>
  <si>
    <t>Rutter</t>
  </si>
  <si>
    <t>rrutter@gcecnj.org</t>
  </si>
  <si>
    <t>870 Bankbridge Road</t>
  </si>
  <si>
    <t>Sewell</t>
  </si>
  <si>
    <t>Broad Street Elementary School</t>
  </si>
  <si>
    <t>Whitcraft</t>
  </si>
  <si>
    <t>awhitcraft@gtsdk8.us</t>
  </si>
  <si>
    <t>255 WEST BROAD ST</t>
  </si>
  <si>
    <t>GIBBSTOWN</t>
  </si>
  <si>
    <t>Hudson</t>
  </si>
  <si>
    <t>Harrison Township School District</t>
  </si>
  <si>
    <t>Harrison Township Elementary School</t>
  </si>
  <si>
    <t>AnnaLisa</t>
  </si>
  <si>
    <t>Rodano</t>
  </si>
  <si>
    <t>rodanoa@harrisontwp.k12.nj.us</t>
  </si>
  <si>
    <t>120 N MAIN STREET</t>
  </si>
  <si>
    <t>Logan Township School District</t>
  </si>
  <si>
    <t>Nikima</t>
  </si>
  <si>
    <t>Logan Township</t>
  </si>
  <si>
    <t>nstewart@LOGANTOWNSHIPSCHOOLS.ORG</t>
  </si>
  <si>
    <t>The Francis E Donnelly Early Childhood Learning Center</t>
  </si>
  <si>
    <t>100 Peachwood Drive</t>
  </si>
  <si>
    <t>Mantua Township School District</t>
  </si>
  <si>
    <t>MANTUA</t>
  </si>
  <si>
    <t>J. Mason Tomlin Elementary School</t>
  </si>
  <si>
    <t>cconnelly@mantuaschools.com</t>
  </si>
  <si>
    <t>393 MAIN ST</t>
  </si>
  <si>
    <t>Sewell Elementary School</t>
  </si>
  <si>
    <t>Donocoff</t>
  </si>
  <si>
    <t>kdonocoff@mantuaschools.com</t>
  </si>
  <si>
    <t>40 MCANALLY DR</t>
  </si>
  <si>
    <t>Monroe Township Public School District</t>
  </si>
  <si>
    <t>Holly Glen Elementary School</t>
  </si>
  <si>
    <t>Crossley</t>
  </si>
  <si>
    <t>kcrossley@monroetwp.k12.nj.us</t>
  </si>
  <si>
    <t>900 NORTH MAIN STREET</t>
  </si>
  <si>
    <t>Oak Knoll Elementary School</t>
  </si>
  <si>
    <t>Kristy</t>
  </si>
  <si>
    <t>Baker</t>
  </si>
  <si>
    <t>Kbaker@monroetwp.k12.nj.us</t>
  </si>
  <si>
    <t>23 BODINE AVENUE</t>
  </si>
  <si>
    <t>Radix Elementary</t>
  </si>
  <si>
    <t>Gore</t>
  </si>
  <si>
    <t>Lgore@monroetwp.k12.nj.us</t>
  </si>
  <si>
    <t>363 RADIX RD</t>
  </si>
  <si>
    <t>Whitehall Elementary School</t>
  </si>
  <si>
    <t>JOANNE</t>
  </si>
  <si>
    <t>RUMPF</t>
  </si>
  <si>
    <t>Jrumpf@monroetwp.k12.nj.us</t>
  </si>
  <si>
    <t>161 WHITEHALL RD</t>
  </si>
  <si>
    <t>National Park Boro School District</t>
  </si>
  <si>
    <t>National Park School</t>
  </si>
  <si>
    <t>athompson@npelem.com</t>
  </si>
  <si>
    <t>516 LAKEHURST AVE</t>
  </si>
  <si>
    <t>NATIONAL PARK</t>
  </si>
  <si>
    <t>Paulsboro School District</t>
  </si>
  <si>
    <t>Billingsport Elementary School</t>
  </si>
  <si>
    <t>tmorris@paulsboro.k12.nj.us</t>
  </si>
  <si>
    <t>441 NASSAU AVE</t>
  </si>
  <si>
    <t>PAULSBORO</t>
  </si>
  <si>
    <t>Pitman Boro School District</t>
  </si>
  <si>
    <t>Sager-Miller</t>
  </si>
  <si>
    <t>ksagermiller@pitman.k12.nj.us</t>
  </si>
  <si>
    <t>400 Hudson Avenue</t>
  </si>
  <si>
    <t>Pitman</t>
  </si>
  <si>
    <t>South Harrison Township School District</t>
  </si>
  <si>
    <t>South Harrison Elementary School</t>
  </si>
  <si>
    <t>Winterburn</t>
  </si>
  <si>
    <t>winterburne@shsd.us</t>
  </si>
  <si>
    <t>904 MULLICA HILL RD</t>
  </si>
  <si>
    <t>HARRISONVILLE</t>
  </si>
  <si>
    <t>Swedesboro-Woolwich School District</t>
  </si>
  <si>
    <t>Margaret C. Clifford School</t>
  </si>
  <si>
    <t>Traini</t>
  </si>
  <si>
    <t>jtraini@swsdk6.com</t>
  </si>
  <si>
    <t>601 Auburn Avenue</t>
  </si>
  <si>
    <t>Swedesboro</t>
  </si>
  <si>
    <t>Theodore</t>
  </si>
  <si>
    <t>Washington Township School District</t>
  </si>
  <si>
    <t>Grenloch Terrace Early Childhood Center</t>
  </si>
  <si>
    <t>ccox@WTPS.ORG</t>
  </si>
  <si>
    <t>251 WOODBURY  TURNERSVILLE RD</t>
  </si>
  <si>
    <t>West Deptford Township School District</t>
  </si>
  <si>
    <t>Green-Fields Elementary School</t>
  </si>
  <si>
    <t>Karry</t>
  </si>
  <si>
    <t>Corbitt</t>
  </si>
  <si>
    <t>kcorbitt@wdeptford.k12.nj.us</t>
  </si>
  <si>
    <t>15 HILL LANE</t>
  </si>
  <si>
    <t>WOODBURY</t>
  </si>
  <si>
    <t>Oakview Elementary School</t>
  </si>
  <si>
    <t>Capocci</t>
  </si>
  <si>
    <t>tcapocci@wdeptford.k12.nj.us</t>
  </si>
  <si>
    <t>350 DUBOIS AVE</t>
  </si>
  <si>
    <t>WEST DEPTFORD</t>
  </si>
  <si>
    <t>Red Bank Elementary School</t>
  </si>
  <si>
    <t>Scheetz</t>
  </si>
  <si>
    <t>jscheetz@wdeptford.k12.nj.us</t>
  </si>
  <si>
    <t>192 PHILADELPHIA AVE</t>
  </si>
  <si>
    <t>Westville Boro Public School District</t>
  </si>
  <si>
    <t>Dericks</t>
  </si>
  <si>
    <t>bdericks@westvillesd.com</t>
  </si>
  <si>
    <t>101 BIRCH ST</t>
  </si>
  <si>
    <t>Woodbury City Public School District</t>
  </si>
  <si>
    <t>Evergreen Avenue Elementary School</t>
  </si>
  <si>
    <t>Vivadelli</t>
  </si>
  <si>
    <t>jvivadelli@woodburysch.com</t>
  </si>
  <si>
    <t>160 North Evergreen Avenue</t>
  </si>
  <si>
    <t>Woodbury</t>
  </si>
  <si>
    <t>jadams@woodburysch.com</t>
  </si>
  <si>
    <t>60 Walnut Street</t>
  </si>
  <si>
    <t>West End Memorial Elementary School</t>
  </si>
  <si>
    <t>Delecce</t>
  </si>
  <si>
    <t>jdelecce@woodburysch.com</t>
  </si>
  <si>
    <t>215 Queen Street</t>
  </si>
  <si>
    <t>Rieger</t>
  </si>
  <si>
    <t>Woodbury Heights Public School District</t>
  </si>
  <si>
    <t>Woodbury Heights Elementary</t>
  </si>
  <si>
    <t>Rodia</t>
  </si>
  <si>
    <t>crodia@woodburyhtselem.com</t>
  </si>
  <si>
    <t>100 ACADEMY AVE</t>
  </si>
  <si>
    <t>Bayonne School District</t>
  </si>
  <si>
    <t>BAYONNE</t>
  </si>
  <si>
    <t>Henry E. Harris Community School</t>
  </si>
  <si>
    <t>Kazimir</t>
  </si>
  <si>
    <t>mkazimir@bboed.org</t>
  </si>
  <si>
    <t>135 AVENUE C</t>
  </si>
  <si>
    <t>Horace Mann Community School</t>
  </si>
  <si>
    <t>Quinn</t>
  </si>
  <si>
    <t>cquinn@bboed.org</t>
  </si>
  <si>
    <t>25 WEST 38TH STREET</t>
  </si>
  <si>
    <t>John M. Bailey Community School</t>
  </si>
  <si>
    <t>Albert</t>
  </si>
  <si>
    <t>amccormick@bboed.org</t>
  </si>
  <si>
    <t>75 WEST 10TH STREET</t>
  </si>
  <si>
    <t>Lincoln Community School #5</t>
  </si>
  <si>
    <t>Malanowski</t>
  </si>
  <si>
    <t>cmalanowski@bboed.org</t>
  </si>
  <si>
    <t>208 PROSPECT AVENUE</t>
  </si>
  <si>
    <t>Mary J Donohoe Community School</t>
  </si>
  <si>
    <t>Baccarella</t>
  </si>
  <si>
    <t>pjbaccarella@bboed.org</t>
  </si>
  <si>
    <t>25 East 5th Street</t>
  </si>
  <si>
    <t>Nicholas Oresko Community School</t>
  </si>
  <si>
    <t>Bullock</t>
  </si>
  <si>
    <t>mbullock@bboed.org</t>
  </si>
  <si>
    <t>33 East 24th Street</t>
  </si>
  <si>
    <t>Philip G. Vroom Community School</t>
  </si>
  <si>
    <t>Janeczko</t>
  </si>
  <si>
    <t>sjaneczko@bboed.org</t>
  </si>
  <si>
    <t>18 WEST 26TH ST</t>
  </si>
  <si>
    <t>Walter F. Robinson Community School</t>
  </si>
  <si>
    <t>Fiermonte</t>
  </si>
  <si>
    <t>kfiermonte@bboed.org</t>
  </si>
  <si>
    <t>95 WEST 31ST STREET</t>
  </si>
  <si>
    <t>Washington Community School #9</t>
  </si>
  <si>
    <t>Becker</t>
  </si>
  <si>
    <t>gbecker@bboed.org</t>
  </si>
  <si>
    <t>191 AVENUE B</t>
  </si>
  <si>
    <t>William Shemin Midtown Community School #8</t>
  </si>
  <si>
    <t>Pondillo</t>
  </si>
  <si>
    <t>japondillo@bboed.org</t>
  </si>
  <si>
    <t>550 AVENUE A</t>
  </si>
  <si>
    <t>Woodrow Wilson Community School</t>
  </si>
  <si>
    <t>Furmaniak</t>
  </si>
  <si>
    <t>tfurmaniak@bboed.org</t>
  </si>
  <si>
    <t>101 WEST 56TH STREET</t>
  </si>
  <si>
    <t>Harrison Public Schools</t>
  </si>
  <si>
    <t>HARRISON</t>
  </si>
  <si>
    <t>Harrison High School</t>
  </si>
  <si>
    <t>Weber</t>
  </si>
  <si>
    <t>matthew.weber@staff.harrisonschools.org</t>
  </si>
  <si>
    <t>401 Kingsland Avenue</t>
  </si>
  <si>
    <t>Kennedy Elementary School</t>
  </si>
  <si>
    <t>Maria (Valle)</t>
  </si>
  <si>
    <t>Queiruga-Pessoa</t>
  </si>
  <si>
    <t>valle.pessoa@harrisonschools.org</t>
  </si>
  <si>
    <t>1 Washington Street</t>
  </si>
  <si>
    <t>Harrison</t>
  </si>
  <si>
    <t>Heberling</t>
  </si>
  <si>
    <t>amy.heberling@staff.harrisonschools.org</t>
  </si>
  <si>
    <t>221 CROSS STREET</t>
  </si>
  <si>
    <t>Hoboken Public School District</t>
  </si>
  <si>
    <t>Wallace Elementary School</t>
  </si>
  <si>
    <t>martin.shannon@hoboken.k12.nj.us</t>
  </si>
  <si>
    <t>1100 WILLOW AVENUE</t>
  </si>
  <si>
    <t>Young</t>
  </si>
  <si>
    <t>Jersey City Public Schools</t>
  </si>
  <si>
    <t>Herman</t>
  </si>
  <si>
    <t>Alexander D. Sullivan School</t>
  </si>
  <si>
    <t>Osei-Yaw</t>
  </si>
  <si>
    <t>moseiyaw@jcboe.org</t>
  </si>
  <si>
    <t>171 SEAVIEW AVE</t>
  </si>
  <si>
    <t>Alfred Zampella School</t>
  </si>
  <si>
    <t>ELIZABETH</t>
  </si>
  <si>
    <t>IANNITELLI</t>
  </si>
  <si>
    <t>eiannitelli@jcboe.org</t>
  </si>
  <si>
    <t>201 NORTH ST</t>
  </si>
  <si>
    <t>Chaplain Charles Watters School</t>
  </si>
  <si>
    <t>pacosta@jcboe.org</t>
  </si>
  <si>
    <t>220 VIRGINIA AVE</t>
  </si>
  <si>
    <t>Charles E. Trefurt School</t>
  </si>
  <si>
    <t>Carson</t>
  </si>
  <si>
    <t>dcarson@jcboe.org</t>
  </si>
  <si>
    <t>96 FRANKLIN ST</t>
  </si>
  <si>
    <t>Christa McAuliffe School</t>
  </si>
  <si>
    <t>Domingo</t>
  </si>
  <si>
    <t>edomingo@jcboe.org</t>
  </si>
  <si>
    <t>167 HANCOCK AVE</t>
  </si>
  <si>
    <t>Cornelia F. Bradford School</t>
  </si>
  <si>
    <t>Blanca</t>
  </si>
  <si>
    <t>bjackson1@jcboe.org</t>
  </si>
  <si>
    <t>96 SUSSEX ST</t>
  </si>
  <si>
    <t>Dr. Charles P. DeFuccio School</t>
  </si>
  <si>
    <t>Chantel</t>
  </si>
  <si>
    <t>Perry</t>
  </si>
  <si>
    <t>cperry@jcboe.org</t>
  </si>
  <si>
    <t>214 PLAINFIELD AVE</t>
  </si>
  <si>
    <t>Dr. Maya Angelou Elementary School</t>
  </si>
  <si>
    <t>Hani</t>
  </si>
  <si>
    <t>Ileya</t>
  </si>
  <si>
    <t>hileya@jcboe.org</t>
  </si>
  <si>
    <t>239 Ocean Avenue</t>
  </si>
  <si>
    <t>Dr. Michael Conti School</t>
  </si>
  <si>
    <t>Rivero</t>
  </si>
  <si>
    <t>jrivero@jcboe.org</t>
  </si>
  <si>
    <t>182 MERSELES ST</t>
  </si>
  <si>
    <t>Dr. Paul Rafalides School</t>
  </si>
  <si>
    <t>docallaghan@jcboe.org</t>
  </si>
  <si>
    <t>362 UNION ST</t>
  </si>
  <si>
    <t>Delgado</t>
  </si>
  <si>
    <t>Frank R Conwell School</t>
  </si>
  <si>
    <t>Mischel</t>
  </si>
  <si>
    <t>dmischel@jcboe.org</t>
  </si>
  <si>
    <t>111 BRIGHT STREET</t>
  </si>
  <si>
    <t>Gladys Nunery School</t>
  </si>
  <si>
    <t>roconnor@jcboe.org</t>
  </si>
  <si>
    <t>123 CLAREMONT AVE</t>
  </si>
  <si>
    <t>Burke</t>
  </si>
  <si>
    <t>Jotham W. Wakeman School</t>
  </si>
  <si>
    <t>Apruzzese</t>
  </si>
  <si>
    <t>japruzzese@jcboe.org</t>
  </si>
  <si>
    <t>100 ST PAULS AVE</t>
  </si>
  <si>
    <t>Julia A. Barnes School</t>
  </si>
  <si>
    <t>Howard Jr.</t>
  </si>
  <si>
    <t>dhoward@jcboe.org</t>
  </si>
  <si>
    <t>91 ASTOR PLACE</t>
  </si>
  <si>
    <t>Mahatma K. Gandhi School</t>
  </si>
  <si>
    <t>Mattaliano</t>
  </si>
  <si>
    <t>pmattaliano@jcboe.org</t>
  </si>
  <si>
    <t>143 ROMAINE AVE</t>
  </si>
  <si>
    <t>Martin Center for the Arts</t>
  </si>
  <si>
    <t>Rescigno</t>
  </si>
  <si>
    <t>nrescigno@jcboe.org</t>
  </si>
  <si>
    <t>59 WILKINSON AVE</t>
  </si>
  <si>
    <t>Cleopatra</t>
  </si>
  <si>
    <t>Wingard</t>
  </si>
  <si>
    <t>cwingard@jcboe.org</t>
  </si>
  <si>
    <t>886 BERGEN AVE</t>
  </si>
  <si>
    <t>Nicolaus Copernicus School</t>
  </si>
  <si>
    <t>Pistilli</t>
  </si>
  <si>
    <t>dpistilli@jcboe.org</t>
  </si>
  <si>
    <t>3385 KENNEDY BLVD</t>
  </si>
  <si>
    <t>Medina</t>
  </si>
  <si>
    <t>Abbruscato</t>
  </si>
  <si>
    <t>sabbruscato@jcboe.org</t>
  </si>
  <si>
    <t>153 UNION ST</t>
  </si>
  <si>
    <t>Lamonica</t>
  </si>
  <si>
    <t>alamonica@jcboe.org</t>
  </si>
  <si>
    <t>164 Laidlaw Ave</t>
  </si>
  <si>
    <t>President Barack Obama Elementary School</t>
  </si>
  <si>
    <t>Janeen</t>
  </si>
  <si>
    <t>Maniscalco</t>
  </si>
  <si>
    <t>jmaniscalco@jcboe.org</t>
  </si>
  <si>
    <t>1830 KENNEDY BLVD</t>
  </si>
  <si>
    <t>Rafael Cordero y Molina</t>
  </si>
  <si>
    <t>Sergio</t>
  </si>
  <si>
    <t>Cabrera</t>
  </si>
  <si>
    <t>scabrera@jcboe.org</t>
  </si>
  <si>
    <t>158 ERIE ST</t>
  </si>
  <si>
    <t>Rev. Dr. Ercel F. Webb School</t>
  </si>
  <si>
    <t>janderson@jcboe.org</t>
  </si>
  <si>
    <t>264 VAN HORNE STREET</t>
  </si>
  <si>
    <t>Rolanda</t>
  </si>
  <si>
    <t>Terry</t>
  </si>
  <si>
    <t>rterry@jcboe.org</t>
  </si>
  <si>
    <t>135 STEGMAN ST</t>
  </si>
  <si>
    <t>Cali</t>
  </si>
  <si>
    <t>ycali@kearnyschools.com</t>
  </si>
  <si>
    <t>100 DAVIS AVE</t>
  </si>
  <si>
    <t>KEARNY</t>
  </si>
  <si>
    <t>Garfield Elementary School</t>
  </si>
  <si>
    <t>Masters</t>
  </si>
  <si>
    <t>dmasters@kearnyschools.com</t>
  </si>
  <si>
    <t>360 BELGROVE DR</t>
  </si>
  <si>
    <t>Roosevelt Elementary School</t>
  </si>
  <si>
    <t>Antonio</t>
  </si>
  <si>
    <t>Moyano</t>
  </si>
  <si>
    <t>amoyano@kearnyschools.com</t>
  </si>
  <si>
    <t>733 KEARNY AVE</t>
  </si>
  <si>
    <t>Schuyler Elementary School</t>
  </si>
  <si>
    <t>Iacono</t>
  </si>
  <si>
    <t>viacono@kearnyschools.com</t>
  </si>
  <si>
    <t>644 FOREST ST</t>
  </si>
  <si>
    <t>Adamski</t>
  </si>
  <si>
    <t>jadamski@kearnyschools.com</t>
  </si>
  <si>
    <t>80 BELGROVE DR</t>
  </si>
  <si>
    <t>North Bergen School District</t>
  </si>
  <si>
    <t>Hamza</t>
  </si>
  <si>
    <t>Abdelhadi</t>
  </si>
  <si>
    <t>habdelhadi@northbergen.k12.nj.us</t>
  </si>
  <si>
    <t>5211 Columbia Avenue</t>
  </si>
  <si>
    <t>N BERGEN</t>
  </si>
  <si>
    <t>NORTH BERGEN</t>
  </si>
  <si>
    <t>Bafumi</t>
  </si>
  <si>
    <t>fbafumi@northbergen.k12.nj.us</t>
  </si>
  <si>
    <t>1210 11th ST</t>
  </si>
  <si>
    <t>Nicolas</t>
  </si>
  <si>
    <t>Sacco Jr</t>
  </si>
  <si>
    <t>nsacco2@northbergen.k12.nj.us</t>
  </si>
  <si>
    <t>1206 63RD ST</t>
  </si>
  <si>
    <t>Bartulovich</t>
  </si>
  <si>
    <t>jbartulovich@northbergen.k12.nj.us</t>
  </si>
  <si>
    <t>3110 LIBERTY AVE</t>
  </si>
  <si>
    <t>Union City School District</t>
  </si>
  <si>
    <t>UNION CITY</t>
  </si>
  <si>
    <t>Eugenio Maria de Hostos Center for Early Childhood Education</t>
  </si>
  <si>
    <t>Adriana</t>
  </si>
  <si>
    <t>Birne</t>
  </si>
  <si>
    <t>abirne@ucboe.us</t>
  </si>
  <si>
    <t>2200 KENNEDY BLVD</t>
  </si>
  <si>
    <t>Julio</t>
  </si>
  <si>
    <t>arivera@ucboe.us</t>
  </si>
  <si>
    <t>3905 NEW YORK AVE</t>
  </si>
  <si>
    <t>Hudson Elementary School</t>
  </si>
  <si>
    <t>amedina@ucboe.us</t>
  </si>
  <si>
    <t>167  19TH ST</t>
  </si>
  <si>
    <t>Robert Waters Elementary School</t>
  </si>
  <si>
    <t>Kirby</t>
  </si>
  <si>
    <t>ckirby@ucboe.us</t>
  </si>
  <si>
    <t>2800 SUMMIT AVE</t>
  </si>
  <si>
    <t>Theodore Roosevelt Elementary School</t>
  </si>
  <si>
    <t>OConnell</t>
  </si>
  <si>
    <t>moconnell@ucboe.us</t>
  </si>
  <si>
    <t>4507 HUDSON AVE</t>
  </si>
  <si>
    <t>Thomas A Edison Elementary School</t>
  </si>
  <si>
    <t>Waleed</t>
  </si>
  <si>
    <t>Miqbel</t>
  </si>
  <si>
    <t>wmiqbel@ucboe.us</t>
  </si>
  <si>
    <t>507 WEST ST</t>
  </si>
  <si>
    <t>Brzuszkiewicz</t>
  </si>
  <si>
    <t>mbrzuszkiewicz@ucboe.us</t>
  </si>
  <si>
    <t>1401 CENTRAL AVENUE</t>
  </si>
  <si>
    <t>Weehawken Public School District</t>
  </si>
  <si>
    <t>Daniel Webster School</t>
  </si>
  <si>
    <t>Amani</t>
  </si>
  <si>
    <t>Hassan</t>
  </si>
  <si>
    <t>ahassan@weehawken.k12.nj.us</t>
  </si>
  <si>
    <t>2700  PALISADE AVE</t>
  </si>
  <si>
    <t>WEEHAWKEN</t>
  </si>
  <si>
    <t>West New York School District</t>
  </si>
  <si>
    <t>WEST NEW YORK</t>
  </si>
  <si>
    <t>Early Childhood School</t>
  </si>
  <si>
    <t>Zebrowski</t>
  </si>
  <si>
    <t>czebrowski@wnyschools.net</t>
  </si>
  <si>
    <t>5204 HUDSON AVE</t>
  </si>
  <si>
    <t>Loren</t>
  </si>
  <si>
    <t>Alexandria Township School District</t>
  </si>
  <si>
    <t>Alexandria Township School</t>
  </si>
  <si>
    <t>McPeek</t>
  </si>
  <si>
    <t>mcpeek@alexandriaschools.org</t>
  </si>
  <si>
    <t>557 County Rd. 513</t>
  </si>
  <si>
    <t>Pittstown</t>
  </si>
  <si>
    <t>Bethlehem Township School District</t>
  </si>
  <si>
    <t>ASBURY</t>
  </si>
  <si>
    <t>Thomas B. Conley Elementary School</t>
  </si>
  <si>
    <t>Bree</t>
  </si>
  <si>
    <t>Brace</t>
  </si>
  <si>
    <t>bbrace@btschools.org</t>
  </si>
  <si>
    <t>940 IRON BRIDGE RD</t>
  </si>
  <si>
    <t>Bloomsbury Borough School District</t>
  </si>
  <si>
    <t>Bloomsbury Borough School</t>
  </si>
  <si>
    <t>Jenniffer</t>
  </si>
  <si>
    <t>Marycz</t>
  </si>
  <si>
    <t>jmarycz@bburyes.org</t>
  </si>
  <si>
    <t>20 Main Street</t>
  </si>
  <si>
    <t>Bloomsbury</t>
  </si>
  <si>
    <t>Califon Borough School District</t>
  </si>
  <si>
    <t>Califon Public School</t>
  </si>
  <si>
    <t>Cone</t>
  </si>
  <si>
    <t>mcone@califonschool.org</t>
  </si>
  <si>
    <t>6 SCHOOL STREET</t>
  </si>
  <si>
    <t>CALIFON</t>
  </si>
  <si>
    <t>Clinton Township School District</t>
  </si>
  <si>
    <t>CLINTON</t>
  </si>
  <si>
    <t>Patrick McGaheran</t>
  </si>
  <si>
    <t>Goad</t>
  </si>
  <si>
    <t>mgoad@ctsdnj.org</t>
  </si>
  <si>
    <t>63  ALLERTON ROAD</t>
  </si>
  <si>
    <t>LEBANON</t>
  </si>
  <si>
    <t>Spruce Run</t>
  </si>
  <si>
    <t>srosa@ctsdnj.org</t>
  </si>
  <si>
    <t>27 BELVIDERE AVENUE</t>
  </si>
  <si>
    <t>Clinton-Glen Gardner School District</t>
  </si>
  <si>
    <t>Clinton Public School</t>
  </si>
  <si>
    <t>Seth</t>
  </si>
  <si>
    <t>scohen@cpsnj.org</t>
  </si>
  <si>
    <t>10 SCHOOL STREET</t>
  </si>
  <si>
    <t>Delaware Township School District</t>
  </si>
  <si>
    <t>Delaware Township School</t>
  </si>
  <si>
    <t>Lipson</t>
  </si>
  <si>
    <t>slipson@dtsk8nj.org</t>
  </si>
  <si>
    <t>501 ROSEMONT  RINGOES ROAD</t>
  </si>
  <si>
    <t>SERGEANTSVILLE</t>
  </si>
  <si>
    <t>East Amwell Township School District</t>
  </si>
  <si>
    <t>East Amwell Township</t>
  </si>
  <si>
    <t>Loveland</t>
  </si>
  <si>
    <t>tloveland@eastamwell.org</t>
  </si>
  <si>
    <t>43 WERTSVILLE RD</t>
  </si>
  <si>
    <t>RINGOES</t>
  </si>
  <si>
    <t>Flemington-Raritan Regional School District</t>
  </si>
  <si>
    <t>Barley Sheaf Elementary School</t>
  </si>
  <si>
    <t>Switkes</t>
  </si>
  <si>
    <t>amy.switkesk@frsd.us</t>
  </si>
  <si>
    <t>80 BARLEY SHEAF ROAD</t>
  </si>
  <si>
    <t>FLEMINGTON</t>
  </si>
  <si>
    <t>Copper Hill Elementary School</t>
  </si>
  <si>
    <t>Lockett</t>
  </si>
  <si>
    <t>jesse.lockett@frsd.us</t>
  </si>
  <si>
    <t>100 Everitts Road</t>
  </si>
  <si>
    <t>Ringoes</t>
  </si>
  <si>
    <t>Francis A. Desmares Elementary School</t>
  </si>
  <si>
    <t>Masessa</t>
  </si>
  <si>
    <t>mark.masessa@frsd.us</t>
  </si>
  <si>
    <t>16 OLD CLINTON ROAD</t>
  </si>
  <si>
    <t>Robert Hunter Elementary School</t>
  </si>
  <si>
    <t>Braynor</t>
  </si>
  <si>
    <t>jessica.braynor@frsd.us</t>
  </si>
  <si>
    <t>8 DAYTON ROAD</t>
  </si>
  <si>
    <t>Franklin Township School District</t>
  </si>
  <si>
    <t>Franklin Township School</t>
  </si>
  <si>
    <t>Gooditis</t>
  </si>
  <si>
    <t>lgooditis@ftschool.org</t>
  </si>
  <si>
    <t>226 QUAKERTOWN ROAD</t>
  </si>
  <si>
    <t>QUAKERTOWN</t>
  </si>
  <si>
    <t>Frenchtown Borough School District</t>
  </si>
  <si>
    <t>Frenchtown Elementary</t>
  </si>
  <si>
    <t>Hintenach</t>
  </si>
  <si>
    <t>jhintenach@frenchtownschool.org</t>
  </si>
  <si>
    <t>902 HARRISON ST</t>
  </si>
  <si>
    <t>FRENCHTOWN</t>
  </si>
  <si>
    <t>Hampton Borough School District</t>
  </si>
  <si>
    <t>Hampton Borough School</t>
  </si>
  <si>
    <t>dkerr@hamptonpublicschool.org</t>
  </si>
  <si>
    <t>32  41 SOUTH STREET</t>
  </si>
  <si>
    <t>HAMPTON</t>
  </si>
  <si>
    <t>High Bridge Borough School District</t>
  </si>
  <si>
    <t>High Bridge Elementary School</t>
  </si>
  <si>
    <t>Hobaugh</t>
  </si>
  <si>
    <t>hobaughg@hbschool.org</t>
  </si>
  <si>
    <t>40 FAIRVIEW AVENUE</t>
  </si>
  <si>
    <t>HIGH BRIDGE</t>
  </si>
  <si>
    <t>Holland Township School District</t>
  </si>
  <si>
    <t>Holland Township Elementary School</t>
  </si>
  <si>
    <t>Wardell</t>
  </si>
  <si>
    <t>sward@hollandschool.org</t>
  </si>
  <si>
    <t>710 MILFORD  WARREN GLEN ROAD</t>
  </si>
  <si>
    <t>MILFORD</t>
  </si>
  <si>
    <t>Kingwood Township School District</t>
  </si>
  <si>
    <t>Kingwood Township School</t>
  </si>
  <si>
    <t>Keri</t>
  </si>
  <si>
    <t>ckeri@kingwoodschool.org</t>
  </si>
  <si>
    <t>880 COUNTY ROAD 519</t>
  </si>
  <si>
    <t>Lebanon Borough School District</t>
  </si>
  <si>
    <t>Lebanon Borough School</t>
  </si>
  <si>
    <t>Arcurio</t>
  </si>
  <si>
    <t>barcurio@lebanonschool.org</t>
  </si>
  <si>
    <t>6 MAPLE ST</t>
  </si>
  <si>
    <t>Lebanon Township School District</t>
  </si>
  <si>
    <t>Valley View School</t>
  </si>
  <si>
    <t>Abraham</t>
  </si>
  <si>
    <t>habraham@lebtwpk8.org</t>
  </si>
  <si>
    <t>400 ROUTE 513</t>
  </si>
  <si>
    <t>Milford Borough School District</t>
  </si>
  <si>
    <t>Milford Public School</t>
  </si>
  <si>
    <t>Falkenstein</t>
  </si>
  <si>
    <t>rfalkenstein@milfordpublicschool.com</t>
  </si>
  <si>
    <t>7 HILLSIDE AVENUE</t>
  </si>
  <si>
    <t>Readington Township School District</t>
  </si>
  <si>
    <t>WHITEHOUSE STATION</t>
  </si>
  <si>
    <t>Three Bridges School</t>
  </si>
  <si>
    <t>khiggins@readington.k12.nj.us</t>
  </si>
  <si>
    <t>480 MAIN STREET</t>
  </si>
  <si>
    <t>THREE BRIDGES</t>
  </si>
  <si>
    <t>Whitehouse School</t>
  </si>
  <si>
    <t>aderosa@readington.k12.nj.us</t>
  </si>
  <si>
    <t>50 WHITEHOUSE AVE</t>
  </si>
  <si>
    <t>South Hunterdon Regional School District</t>
  </si>
  <si>
    <t>South Hunterdon Regional Elementary School</t>
  </si>
  <si>
    <t>Wanda</t>
  </si>
  <si>
    <t>wanda.quinones@shrsd.org</t>
  </si>
  <si>
    <t>200 N. Main St</t>
  </si>
  <si>
    <t>Lambertville</t>
  </si>
  <si>
    <t>jennifer.macknight@shrsd.org</t>
  </si>
  <si>
    <t>West Amwell School</t>
  </si>
  <si>
    <t>Beresh</t>
  </si>
  <si>
    <t>1417 NJ-179</t>
  </si>
  <si>
    <t>Tewksbury Township School District</t>
  </si>
  <si>
    <t>Tewksbury Elementary School</t>
  </si>
  <si>
    <t>lmoore@tewksburyschools.org</t>
  </si>
  <si>
    <t>109 FAIRMOUNT ROAD EAST</t>
  </si>
  <si>
    <t>Union Township School District</t>
  </si>
  <si>
    <t>Union Township Elementary School</t>
  </si>
  <si>
    <t>Rhonda</t>
  </si>
  <si>
    <t>Pevorus</t>
  </si>
  <si>
    <t>rpevorus@uniontwpschool.org</t>
  </si>
  <si>
    <t>149 PERRYVILLE ROAD</t>
  </si>
  <si>
    <t>Jazmyn</t>
  </si>
  <si>
    <t>Conley</t>
  </si>
  <si>
    <t>Ewing Township School District</t>
  </si>
  <si>
    <t>EWING</t>
  </si>
  <si>
    <t>mconway@ewingboe.org</t>
  </si>
  <si>
    <t>446 PARKWAY AVENUE</t>
  </si>
  <si>
    <t>William L Antheil Elementary School</t>
  </si>
  <si>
    <t>Clifford</t>
  </si>
  <si>
    <t>charrison@ewingboe.org</t>
  </si>
  <si>
    <t>339 EWINGVILLE ROAD</t>
  </si>
  <si>
    <t>Hamilton Township Public School District</t>
  </si>
  <si>
    <t>HAMILTON</t>
  </si>
  <si>
    <t>Alexander Elementary School</t>
  </si>
  <si>
    <t>Bookholdt</t>
  </si>
  <si>
    <t>jbookholdt@htsdnj.org</t>
  </si>
  <si>
    <t>20 ROBERT FROST DRIVE</t>
  </si>
  <si>
    <t>Brendan</t>
  </si>
  <si>
    <t>University Heights Elementary School</t>
  </si>
  <si>
    <t>Diszler</t>
  </si>
  <si>
    <t>sdiszler@htsdnj.org</t>
  </si>
  <si>
    <t>645 PAXSON AVENUE</t>
  </si>
  <si>
    <t>Yardville Elementary School</t>
  </si>
  <si>
    <t>Czyz</t>
  </si>
  <si>
    <t>rczyz@htsdnj.org</t>
  </si>
  <si>
    <t>450 YARDVILLE  ALLENTOWN RD</t>
  </si>
  <si>
    <t>Hopewell Valley Regional School District</t>
  </si>
  <si>
    <t>Bear Tavern Elementary School</t>
  </si>
  <si>
    <t>jaybilly@hvrsd.org</t>
  </si>
  <si>
    <t>1162 BEAR TAVERN ROAD</t>
  </si>
  <si>
    <t>TITUSVILLE</t>
  </si>
  <si>
    <t>Hopewell Elementary School</t>
  </si>
  <si>
    <t>Brettell</t>
  </si>
  <si>
    <t>scottbrettell@hvrsd.org</t>
  </si>
  <si>
    <t>35 PRINCETON AVENUE</t>
  </si>
  <si>
    <t>HOPEWELL</t>
  </si>
  <si>
    <t>Lawrence Township Public School District</t>
  </si>
  <si>
    <t>Ben Franklin Elementary</t>
  </si>
  <si>
    <t>Geoffrey</t>
  </si>
  <si>
    <t>ghewitt@ltps.org</t>
  </si>
  <si>
    <t>2939 PRINCETON PIKE</t>
  </si>
  <si>
    <t>LAWRENCEVILLE</t>
  </si>
  <si>
    <t>Eldridge Park School</t>
  </si>
  <si>
    <t>Amiet</t>
  </si>
  <si>
    <t>aamiet@ltps.org</t>
  </si>
  <si>
    <t>55 LAWN PARK AVE</t>
  </si>
  <si>
    <t>Lawrence High School</t>
  </si>
  <si>
    <t>dadam@ltps.org</t>
  </si>
  <si>
    <t>2525 PRINCETON PIKE</t>
  </si>
  <si>
    <t>Alyson</t>
  </si>
  <si>
    <t>Lawrenceville Elementary School</t>
  </si>
  <si>
    <t>kburke@ltps.org</t>
  </si>
  <si>
    <t>40 CRAVEN LANE</t>
  </si>
  <si>
    <t>Slackwood Elementary School</t>
  </si>
  <si>
    <t>Ebony</t>
  </si>
  <si>
    <t>Lattimer</t>
  </si>
  <si>
    <t>elattimer@ltps.org</t>
  </si>
  <si>
    <t>2060 PRINCETON PIKE</t>
  </si>
  <si>
    <t>Marie H. Katzenbach School for the Deaf</t>
  </si>
  <si>
    <t>Marie H Katzenbach Elementary School for the Deaf</t>
  </si>
  <si>
    <t>Caseiro</t>
  </si>
  <si>
    <t>jody.caseiro@mksd.org</t>
  </si>
  <si>
    <t>320 Sullivan Way</t>
  </si>
  <si>
    <t>Mercer County Special Services School District</t>
  </si>
  <si>
    <t>Joseph F. Cappello School</t>
  </si>
  <si>
    <t>Carline</t>
  </si>
  <si>
    <t>Mirthil</t>
  </si>
  <si>
    <t>cmirthil@mcsssd.us</t>
  </si>
  <si>
    <t>1072 Old Trenton Road</t>
  </si>
  <si>
    <t>Princeton Public School District</t>
  </si>
  <si>
    <t>Community Park School</t>
  </si>
  <si>
    <t>Dineen</t>
  </si>
  <si>
    <t>Gruchacz</t>
  </si>
  <si>
    <t>dineengruchacz@princetonk12.org</t>
  </si>
  <si>
    <t>372 WITHERSPOON STREET</t>
  </si>
  <si>
    <t>Johnson Park School</t>
  </si>
  <si>
    <t>christophersheridan@princetonk12.org</t>
  </si>
  <si>
    <t>285 ROSEDALE ROAD</t>
  </si>
  <si>
    <t>Riverside School</t>
  </si>
  <si>
    <t>Max</t>
  </si>
  <si>
    <t>Achtau</t>
  </si>
  <si>
    <t>maxachtau@princetonk12.org</t>
  </si>
  <si>
    <t>58 RIVERSIDE DRIVE</t>
  </si>
  <si>
    <t>Robbinsville Public School District</t>
  </si>
  <si>
    <t>Pond Road Middle School</t>
  </si>
  <si>
    <t>Gizzo</t>
  </si>
  <si>
    <t>gizzo.paul@robbinsville.k12.nj.us</t>
  </si>
  <si>
    <t>150 POND ROAD</t>
  </si>
  <si>
    <t>ROBBINSVILLE</t>
  </si>
  <si>
    <t>Sharon School</t>
  </si>
  <si>
    <t>Bootier</t>
  </si>
  <si>
    <t>bootier.nicole@robbinsville.k12.nj.us</t>
  </si>
  <si>
    <t>234 SHARON ROAD</t>
  </si>
  <si>
    <t>Trenton Public School District</t>
  </si>
  <si>
    <t>Alakee</t>
  </si>
  <si>
    <t>Bethea</t>
  </si>
  <si>
    <t>aebethea@trenton.k12.nj.us</t>
  </si>
  <si>
    <t>200 WILLIAM STREET</t>
  </si>
  <si>
    <t>Ingram</t>
  </si>
  <si>
    <t>tingram@trenton.k12.nj.us</t>
  </si>
  <si>
    <t>331 EMORY AVENUE</t>
  </si>
  <si>
    <t>West Windsor-Plainsboro Regional School District</t>
  </si>
  <si>
    <t>PLAINSBORO</t>
  </si>
  <si>
    <t>West Windsor</t>
  </si>
  <si>
    <t>Ellen</t>
  </si>
  <si>
    <t>Maurice Hawk Elementary School</t>
  </si>
  <si>
    <t>sara.bright@wwprsd.org</t>
  </si>
  <si>
    <t>303  305 CLARKSVILLE ROAD</t>
  </si>
  <si>
    <t>Town Center Elementary School at Plainsboro</t>
  </si>
  <si>
    <t>Falk</t>
  </si>
  <si>
    <t>erin.falk@wwprsd.org</t>
  </si>
  <si>
    <t>700 WYNDHURST DRIVE</t>
  </si>
  <si>
    <t>Carteret Public School District</t>
  </si>
  <si>
    <t>CARTERET</t>
  </si>
  <si>
    <t>Columbus Elementary School</t>
  </si>
  <si>
    <t>Mayling</t>
  </si>
  <si>
    <t>Cardenas</t>
  </si>
  <si>
    <t>mcardenas@carteretschools.org</t>
  </si>
  <si>
    <t>1 CARTERET AVENUE</t>
  </si>
  <si>
    <t>Nathan Hale Elementary School</t>
  </si>
  <si>
    <t>Barrett</t>
  </si>
  <si>
    <t>ebarrett@carteretschools.org</t>
  </si>
  <si>
    <t>678 ROOSEVELT AVENUE</t>
  </si>
  <si>
    <t>Private Nicholas Minue Elementary School</t>
  </si>
  <si>
    <t>Bolinger</t>
  </si>
  <si>
    <t>cbolinger@carteretschools.org</t>
  </si>
  <si>
    <t>83 POST BLVD</t>
  </si>
  <si>
    <t>Cranbury Township School District</t>
  </si>
  <si>
    <t>Cranbury School</t>
  </si>
  <si>
    <t>jdiszler@cranburyschool.org</t>
  </si>
  <si>
    <t>23 N MAIN ST</t>
  </si>
  <si>
    <t>CRANBURY</t>
  </si>
  <si>
    <t>Dunellen Public School District</t>
  </si>
  <si>
    <t>DUNELLEN</t>
  </si>
  <si>
    <t>John P. Faber Elementary School</t>
  </si>
  <si>
    <t>Tennant</t>
  </si>
  <si>
    <t>tennantb@dunellenschools.org</t>
  </si>
  <si>
    <t>400 HIGH STREET</t>
  </si>
  <si>
    <t>East Brunswick Township School District</t>
  </si>
  <si>
    <t>Bowne-Munro Elementary School</t>
  </si>
  <si>
    <t>Gristina</t>
  </si>
  <si>
    <t>kristin.gristina@ebnet.org</t>
  </si>
  <si>
    <t>120 MAIN STREET</t>
  </si>
  <si>
    <t>EAST BRUNSWICK</t>
  </si>
  <si>
    <t>Chittick Elementary School</t>
  </si>
  <si>
    <t>tatianna.mcbride@ebnet.org</t>
  </si>
  <si>
    <t>5 FLAGLER STREET</t>
  </si>
  <si>
    <t>Frost Elementary School</t>
  </si>
  <si>
    <t>Nyree</t>
  </si>
  <si>
    <t>nyree.delgado@ebnet.org</t>
  </si>
  <si>
    <t>65 FROST AVENUE</t>
  </si>
  <si>
    <t>Irwin Elementary School</t>
  </si>
  <si>
    <t>Chmielowicz</t>
  </si>
  <si>
    <t>jchmielowicz@ebnet.org</t>
  </si>
  <si>
    <t>71 RACETRACK ROAD</t>
  </si>
  <si>
    <t>cjones@ebnet.org</t>
  </si>
  <si>
    <t>14 INNES ROAD</t>
  </si>
  <si>
    <t>Edison Township School District</t>
  </si>
  <si>
    <t>Bevere</t>
  </si>
  <si>
    <t>nicole.bevere@edison.k12.nj.us</t>
  </si>
  <si>
    <t>2485 WOODBRIDGE AVENUE</t>
  </si>
  <si>
    <t>EDISON</t>
  </si>
  <si>
    <t>Edison Early Learning Center</t>
  </si>
  <si>
    <t>Shallop</t>
  </si>
  <si>
    <t>anthony.shallop@edison.k12.nj.us</t>
  </si>
  <si>
    <t>10 Boulevard of the Eagles</t>
  </si>
  <si>
    <t>Edison</t>
  </si>
  <si>
    <t>Ross</t>
  </si>
  <si>
    <t>Franklin D Roosevelt School</t>
  </si>
  <si>
    <t>838 New Dover Rd</t>
  </si>
  <si>
    <t>McGrath</t>
  </si>
  <si>
    <t>Scully</t>
  </si>
  <si>
    <t>shawn.scully@edison.k12.nj.us</t>
  </si>
  <si>
    <t>53 BROOKVILLE ROAD</t>
  </si>
  <si>
    <t>Antoinette</t>
  </si>
  <si>
    <t>Schlatter</t>
  </si>
  <si>
    <t>sandra.schlatter@edison.k12.nj.us</t>
  </si>
  <si>
    <t>153 WINTHROP ROAD</t>
  </si>
  <si>
    <t>Educational Services Commission of New Jersey</t>
  </si>
  <si>
    <t>Academy Learning Center</t>
  </si>
  <si>
    <t>srieger@escnj.us</t>
  </si>
  <si>
    <t>145 PERGOLA AVENUE</t>
  </si>
  <si>
    <t>MONROE TOWNSHIP</t>
  </si>
  <si>
    <t>Bright Beginnings Learning Center</t>
  </si>
  <si>
    <t>kjohnson@escnj.us</t>
  </si>
  <si>
    <t>1660 STELTON ROAD</t>
  </si>
  <si>
    <t>PISCATAWAY</t>
  </si>
  <si>
    <t>Center for Lifelong Learning</t>
  </si>
  <si>
    <t>Mary Beth</t>
  </si>
  <si>
    <t>mconley@escnj.us</t>
  </si>
  <si>
    <t>333 CHEESEQUAKE RD</t>
  </si>
  <si>
    <t>PARLIN</t>
  </si>
  <si>
    <t>Piscataway</t>
  </si>
  <si>
    <t>Highland Park Boro School District</t>
  </si>
  <si>
    <t>HIGHLAND PARK</t>
  </si>
  <si>
    <t>Irving Primary School</t>
  </si>
  <si>
    <t>MEGAN</t>
  </si>
  <si>
    <t>MCNALLY</t>
  </si>
  <si>
    <t>MMCNALLY@HPSCHOOLS.NET</t>
  </si>
  <si>
    <t>121 SOUTH ELEVENTH AVENUE</t>
  </si>
  <si>
    <t>Jamesburg Public School District</t>
  </si>
  <si>
    <t>JAMESBURG</t>
  </si>
  <si>
    <t>John F. Kennedy Elementary School</t>
  </si>
  <si>
    <t>Tozzi</t>
  </si>
  <si>
    <t>mtozzi@jamesburg.org</t>
  </si>
  <si>
    <t>28 FRONT STREET</t>
  </si>
  <si>
    <t>Metuchen Public School District</t>
  </si>
  <si>
    <t>METUCHEN</t>
  </si>
  <si>
    <t>Mildred B. Moss Elementary School</t>
  </si>
  <si>
    <t>Asprocolas</t>
  </si>
  <si>
    <t>jasprocolas@metboe.k12.nj.us</t>
  </si>
  <si>
    <t>16 SIMPSON PLACE</t>
  </si>
  <si>
    <t>Middlesex Borough School District</t>
  </si>
  <si>
    <t>Hazelwood Elementary School</t>
  </si>
  <si>
    <t>Gianchiglia</t>
  </si>
  <si>
    <t>gianchigliar@middlesex.k12.nj.us</t>
  </si>
  <si>
    <t>800 HAZELWOOD AVENUE</t>
  </si>
  <si>
    <t>Middlesex</t>
  </si>
  <si>
    <t>Elissa</t>
  </si>
  <si>
    <t>PERTH AMBOY</t>
  </si>
  <si>
    <t>Milltown School District</t>
  </si>
  <si>
    <t>Parkview  School</t>
  </si>
  <si>
    <t>Siegel</t>
  </si>
  <si>
    <t>esiegel@milltownps.org</t>
  </si>
  <si>
    <t>80 VIOLET TERRACE</t>
  </si>
  <si>
    <t>MILLTOWN</t>
  </si>
  <si>
    <t>Monroe Township School District</t>
  </si>
  <si>
    <t>Barclay Brook School</t>
  </si>
  <si>
    <t>Erinn</t>
  </si>
  <si>
    <t>Mahoney</t>
  </si>
  <si>
    <t>erinn.mahoney@monroe.k12.nj.us</t>
  </si>
  <si>
    <t>358 BUCKELEW AVENUE</t>
  </si>
  <si>
    <t>MONROE TWP</t>
  </si>
  <si>
    <t>New Brunswick School District</t>
  </si>
  <si>
    <t>A Chester Redshaw School</t>
  </si>
  <si>
    <t>juan_perez@nbpsnj.net</t>
  </si>
  <si>
    <t>216 Livingston Avenue</t>
  </si>
  <si>
    <t>Kocis</t>
  </si>
  <si>
    <t>joann_kocis@nbpsnj.net</t>
  </si>
  <si>
    <t>66 BARTLETT STREET</t>
  </si>
  <si>
    <t>Lord Stirling Community School</t>
  </si>
  <si>
    <t>Jarido</t>
  </si>
  <si>
    <t>kevin_jarido@nbpsnj.net</t>
  </si>
  <si>
    <t>101 REDMOND STREET</t>
  </si>
  <si>
    <t>Mckinley Community School</t>
  </si>
  <si>
    <t>Janene</t>
  </si>
  <si>
    <t>Howard-Rodriguez</t>
  </si>
  <si>
    <t>janene_rodriguez@nbpsnj.net</t>
  </si>
  <si>
    <t>15 VAN DYKE AVE</t>
  </si>
  <si>
    <t>Paul Robeson Community School for the Arts</t>
  </si>
  <si>
    <t>Violet</t>
  </si>
  <si>
    <t>violet_robinson@nbpsnj.net</t>
  </si>
  <si>
    <t>199 Paul Robeson Blvd</t>
  </si>
  <si>
    <t>Gisela</t>
  </si>
  <si>
    <t>Ciancia</t>
  </si>
  <si>
    <t>gisela_ciancia@nbpsnj.net</t>
  </si>
  <si>
    <t>83 LIVINGSTON AVE</t>
  </si>
  <si>
    <t>Woodrow Wilson Elementary School</t>
  </si>
  <si>
    <t>Chiodo</t>
  </si>
  <si>
    <t>michael_chiodo@nbpsnj.net</t>
  </si>
  <si>
    <t>133 TUNISON RD</t>
  </si>
  <si>
    <t>North Brunswick Township School District</t>
  </si>
  <si>
    <t>Arthur M. Judd</t>
  </si>
  <si>
    <t>vglover@nbtschools.org</t>
  </si>
  <si>
    <t>1595 ROOSEVELT AVENUE</t>
  </si>
  <si>
    <t>NORTH BRUNSWICK</t>
  </si>
  <si>
    <t>John Adams</t>
  </si>
  <si>
    <t>Kingsley</t>
  </si>
  <si>
    <t>akingsley@nbtschools.org</t>
  </si>
  <si>
    <t>1450 REDMOND STREET</t>
  </si>
  <si>
    <t>Livingston Park</t>
  </si>
  <si>
    <t>Sidney</t>
  </si>
  <si>
    <t>Dawson</t>
  </si>
  <si>
    <t>sdawson@nbtschools.org</t>
  </si>
  <si>
    <t>1128 LIVINGSTON AVENUE</t>
  </si>
  <si>
    <t>North Brunswick Twp Early Childhood Center</t>
  </si>
  <si>
    <t>Passner</t>
  </si>
  <si>
    <t>spassner@nbtschools.org</t>
  </si>
  <si>
    <t>25 Linwood Place</t>
  </si>
  <si>
    <t>North Brunswick</t>
  </si>
  <si>
    <t>Parsons</t>
  </si>
  <si>
    <t>dwhalen@nbtschools.org</t>
  </si>
  <si>
    <t>116 HOLLYWOOD STREET</t>
  </si>
  <si>
    <t>Old Bridge Township School District</t>
  </si>
  <si>
    <t>OLD BRIDGE</t>
  </si>
  <si>
    <t>Payton</t>
  </si>
  <si>
    <t>Raymond.Payton@obps.org</t>
  </si>
  <si>
    <t>11 ELY AVE</t>
  </si>
  <si>
    <t>LAURENCE HARBOR</t>
  </si>
  <si>
    <t>MATAWAN</t>
  </si>
  <si>
    <t>Southwood Elementary School</t>
  </si>
  <si>
    <t>Karen.Foley@obps.org</t>
  </si>
  <si>
    <t>64 SOUTHWOOD DR</t>
  </si>
  <si>
    <t>Perth Amboy Public School District</t>
  </si>
  <si>
    <t>Edmund Hmieleski Early Childhood Center</t>
  </si>
  <si>
    <t>Jeri</t>
  </si>
  <si>
    <t>Mast</t>
  </si>
  <si>
    <t>geramast@paps.net</t>
  </si>
  <si>
    <t>925 AMBOY AVENUE</t>
  </si>
  <si>
    <t>Ignacio Cruz Early Childhood Center</t>
  </si>
  <si>
    <t>Spindel</t>
  </si>
  <si>
    <t>pamespindel@paps.net</t>
  </si>
  <si>
    <t>601 CORTLANDT ST</t>
  </si>
  <si>
    <t>Nieves</t>
  </si>
  <si>
    <t>Derrick</t>
  </si>
  <si>
    <t>Piscataway Township School District</t>
  </si>
  <si>
    <t>Sernotti</t>
  </si>
  <si>
    <t>jsernotti@pway.org</t>
  </si>
  <si>
    <t>275 Old New Brunswick Road</t>
  </si>
  <si>
    <t>Sayreville School District</t>
  </si>
  <si>
    <t>Cheesequake School</t>
  </si>
  <si>
    <t>Magistro</t>
  </si>
  <si>
    <t>april.magistro@sayrevillek12.net</t>
  </si>
  <si>
    <t>111 Highway 34</t>
  </si>
  <si>
    <t>Matawan</t>
  </si>
  <si>
    <t>Project Before at Selover School</t>
  </si>
  <si>
    <t>Obryk</t>
  </si>
  <si>
    <t>nina.obryk@sayrevillek12.net</t>
  </si>
  <si>
    <t>150 Lincoln St.</t>
  </si>
  <si>
    <t>South Amboy</t>
  </si>
  <si>
    <t>Timothy.Byrne@sayrevillek12.net</t>
  </si>
  <si>
    <t>65 DANE STREET</t>
  </si>
  <si>
    <t>SAYREVILLE</t>
  </si>
  <si>
    <t>South Amboy School District</t>
  </si>
  <si>
    <t>South Amboy Elementary</t>
  </si>
  <si>
    <t>Dunphy</t>
  </si>
  <si>
    <t>sdunphy@sapublicschools.com</t>
  </si>
  <si>
    <t>249 JOHN STREET</t>
  </si>
  <si>
    <t>SOUTH AMBOY</t>
  </si>
  <si>
    <t>South Brunswick School District</t>
  </si>
  <si>
    <t>Brooks Crossing Elementary School</t>
  </si>
  <si>
    <t>Maccarone</t>
  </si>
  <si>
    <t>jaime.maccarone@sbschools.org</t>
  </si>
  <si>
    <t>50 DEANS RHODE HALL ROAD</t>
  </si>
  <si>
    <t>MONMOUTH JUNCTION</t>
  </si>
  <si>
    <t>Brunswick Acres Elementary School</t>
  </si>
  <si>
    <t>Ta</t>
  </si>
  <si>
    <t>Stacey.Ta@sbschools.org</t>
  </si>
  <si>
    <t>41 KORY DRIVE</t>
  </si>
  <si>
    <t>KENDALL PARK</t>
  </si>
  <si>
    <t>Natalie</t>
  </si>
  <si>
    <t>Constable Elementary School</t>
  </si>
  <si>
    <t>Vildostegui-Cerra</t>
  </si>
  <si>
    <t>cristina.vildostegui-cerra@sbschools.org</t>
  </si>
  <si>
    <t>29 CONSTABLE ROAD</t>
  </si>
  <si>
    <t>Dayton Elementary School</t>
  </si>
  <si>
    <t>Plummer</t>
  </si>
  <si>
    <t>megan.plummer@sbschools.org</t>
  </si>
  <si>
    <t>310 Georges Road</t>
  </si>
  <si>
    <t>Dayton</t>
  </si>
  <si>
    <t>Deans Elementary School</t>
  </si>
  <si>
    <t>848 Georges Road</t>
  </si>
  <si>
    <t>Monmouth Junction</t>
  </si>
  <si>
    <t>Greenbrook Elementary School</t>
  </si>
  <si>
    <t>Jodi.Mahoney@sbschools.org</t>
  </si>
  <si>
    <t>23 ROBERTS STREET</t>
  </si>
  <si>
    <t>Monmouth Junction Elementary School</t>
  </si>
  <si>
    <t>Scheese</t>
  </si>
  <si>
    <t>Michael.Scheese@sbschools.org</t>
  </si>
  <si>
    <t>630 RIDGE ROAD</t>
  </si>
  <si>
    <t>South Plainfield School District</t>
  </si>
  <si>
    <t>Colucci</t>
  </si>
  <si>
    <t>scolucci@spboe.org</t>
  </si>
  <si>
    <t>1000 FRANKLIN AVE</t>
  </si>
  <si>
    <t>SOUTH PLAINFIELD</t>
  </si>
  <si>
    <t>Hajduk</t>
  </si>
  <si>
    <t>khajduk@spboe.org</t>
  </si>
  <si>
    <t>2900 NORWOOD AVENUE</t>
  </si>
  <si>
    <t>Zatta</t>
  </si>
  <si>
    <t>dzatta@spboe.org</t>
  </si>
  <si>
    <t>125 JACKSON AVENUE</t>
  </si>
  <si>
    <t>Sam</t>
  </si>
  <si>
    <t>Fierra</t>
  </si>
  <si>
    <t>sfierra@spboe.org</t>
  </si>
  <si>
    <t>135 JACKSON AVENUE</t>
  </si>
  <si>
    <t>Roosevelt Preschool Annex</t>
  </si>
  <si>
    <t>South River Public School District</t>
  </si>
  <si>
    <t>South River Early Learning Center</t>
  </si>
  <si>
    <t>19 Montgomery Street</t>
  </si>
  <si>
    <t>SOUTH RIVER</t>
  </si>
  <si>
    <t>South River Primary School</t>
  </si>
  <si>
    <t>Lieberman</t>
  </si>
  <si>
    <t>hlieberman@srivernj.org</t>
  </si>
  <si>
    <t>22 DAVID STREET</t>
  </si>
  <si>
    <t>Spotswood Public School District</t>
  </si>
  <si>
    <t>SPOTSWOOD</t>
  </si>
  <si>
    <t>G Austin Schoenly Elementary School</t>
  </si>
  <si>
    <t>Ayers</t>
  </si>
  <si>
    <t>jayers@spsd.us</t>
  </si>
  <si>
    <t>80 KANE AVENUE</t>
  </si>
  <si>
    <t>Woodbridge Township School District</t>
  </si>
  <si>
    <t>Joanne</t>
  </si>
  <si>
    <t>COLONIA</t>
  </si>
  <si>
    <t>FORDS</t>
  </si>
  <si>
    <t>ISELIN</t>
  </si>
  <si>
    <t>Kennedy Park Elementary School</t>
  </si>
  <si>
    <t>Kaminsky</t>
  </si>
  <si>
    <t>pamela.kaminsky@woodbridge.k12.nj.us</t>
  </si>
  <si>
    <t>GOODRICH AVENUE</t>
  </si>
  <si>
    <t>Lafayette Estates Elementary School</t>
  </si>
  <si>
    <t>Braunsdorf</t>
  </si>
  <si>
    <t>edward.braunsdorf@woodbridge.k12.nj.us</t>
  </si>
  <si>
    <t>FORD AVENUE</t>
  </si>
  <si>
    <t>Lynn Crest Elementary School</t>
  </si>
  <si>
    <t>matthew.connelly@woodbridge.k12.nj.us</t>
  </si>
  <si>
    <t>98 IRA AVENUE</t>
  </si>
  <si>
    <t>McCabe</t>
  </si>
  <si>
    <t>Matthew Jago Elementary School</t>
  </si>
  <si>
    <t>thomas.perry@woodbridge.k12.nj.us</t>
  </si>
  <si>
    <t>99 CENTRAL AVENUE</t>
  </si>
  <si>
    <t>SEWAREN</t>
  </si>
  <si>
    <t>Asbury Park School District</t>
  </si>
  <si>
    <t>Zakiya</t>
  </si>
  <si>
    <t>DelOrbe</t>
  </si>
  <si>
    <t>delorbez@apboe.org</t>
  </si>
  <si>
    <t>600 MONROE AVENUE</t>
  </si>
  <si>
    <t>Belmar Elementary School District</t>
  </si>
  <si>
    <t>Belmar Elementary</t>
  </si>
  <si>
    <t>Wilton</t>
  </si>
  <si>
    <t>wilton@belmar.k12.nj.us</t>
  </si>
  <si>
    <t>1101 MAIN STREET</t>
  </si>
  <si>
    <t>BELMAR</t>
  </si>
  <si>
    <t>Bradley Beach School District</t>
  </si>
  <si>
    <t>Bradley Beach Elementary School</t>
  </si>
  <si>
    <t>Heidelberg</t>
  </si>
  <si>
    <t>mheidelberg@bbesnj.org</t>
  </si>
  <si>
    <t>515 BRINLEY AVENUE</t>
  </si>
  <si>
    <t>BRADLEY BEACH</t>
  </si>
  <si>
    <t>Colts Neck Township School District</t>
  </si>
  <si>
    <t>COLTS NECK</t>
  </si>
  <si>
    <t>Conover Road Primary School</t>
  </si>
  <si>
    <t>Barr</t>
  </si>
  <si>
    <t>barr@coltsneckschools.org</t>
  </si>
  <si>
    <t>56 CONOVER ROAD</t>
  </si>
  <si>
    <t>Eatontown Public School District</t>
  </si>
  <si>
    <t>Margaret L Vetter</t>
  </si>
  <si>
    <t>atorres@eatontown.org</t>
  </si>
  <si>
    <t>3 GRANT AVENUE</t>
  </si>
  <si>
    <t>EATONTOWN</t>
  </si>
  <si>
    <t>Boufford</t>
  </si>
  <si>
    <t>tboufford@eatontown.org</t>
  </si>
  <si>
    <t>65 WYCKOFF ROAD</t>
  </si>
  <si>
    <t>Woodmere</t>
  </si>
  <si>
    <t>Iozzi</t>
  </si>
  <si>
    <t>kiozzi@eatontown.org</t>
  </si>
  <si>
    <t>65 RALEIGH COURT</t>
  </si>
  <si>
    <t>Farmingdale Public School District</t>
  </si>
  <si>
    <t>Farmingdale Elementary</t>
  </si>
  <si>
    <t>Edith</t>
  </si>
  <si>
    <t>Conroy</t>
  </si>
  <si>
    <t>edith.conroy@farmingdaleschool.com</t>
  </si>
  <si>
    <t>49 ACADEMY ST</t>
  </si>
  <si>
    <t>FARMINGDALE</t>
  </si>
  <si>
    <t>Freehold Borough School District</t>
  </si>
  <si>
    <t>FREEHOLD</t>
  </si>
  <si>
    <t>Freehold Learning Center</t>
  </si>
  <si>
    <t>WilliamS@freeholdboro.k12.nj.us</t>
  </si>
  <si>
    <t>30 Dutch Lane Rd.</t>
  </si>
  <si>
    <t>Freehold</t>
  </si>
  <si>
    <t>Mulhern</t>
  </si>
  <si>
    <t>pmulhern@freeholdboro.k12.nj.us</t>
  </si>
  <si>
    <t>280 Park Ave.</t>
  </si>
  <si>
    <t>Freehold Township School District</t>
  </si>
  <si>
    <t>Early Childhood Learning Center</t>
  </si>
  <si>
    <t>Cecilione</t>
  </si>
  <si>
    <t>lcecilione@freeholdtwp.k12.nj.us</t>
  </si>
  <si>
    <t>610 STILLWELLS CORNER ROAD</t>
  </si>
  <si>
    <t>Shaw</t>
  </si>
  <si>
    <t>West Freehold School</t>
  </si>
  <si>
    <t>Lechner</t>
  </si>
  <si>
    <t>tlechner@freeholdtwp.k12.nj.us</t>
  </si>
  <si>
    <t>100 CASTRONOVA WAY</t>
  </si>
  <si>
    <t>Hazlet Township Public School District</t>
  </si>
  <si>
    <t>HAZLET</t>
  </si>
  <si>
    <t>Sycamore Drive Early Childhood Learning Center</t>
  </si>
  <si>
    <t>Dorozynski</t>
  </si>
  <si>
    <t>gdorozynski@hazlet.org</t>
  </si>
  <si>
    <t>37 SYCAMORE DRIVE</t>
  </si>
  <si>
    <t>Holmdel Township School District</t>
  </si>
  <si>
    <t>HOLMDEL</t>
  </si>
  <si>
    <t>Village School</t>
  </si>
  <si>
    <t>tbarrett@holmdelschools.org</t>
  </si>
  <si>
    <t>67 MCCAMPBELL ROAD</t>
  </si>
  <si>
    <t>Howell Township Public School District</t>
  </si>
  <si>
    <t>Adelphia Early Learning Center</t>
  </si>
  <si>
    <t>Coco</t>
  </si>
  <si>
    <t>lcoco@howell.k12.nj.us</t>
  </si>
  <si>
    <t>495 ADELPHIA ROAD</t>
  </si>
  <si>
    <t>HOWELL</t>
  </si>
  <si>
    <t>Mignoli</t>
  </si>
  <si>
    <t>Gredder</t>
  </si>
  <si>
    <t>rgredder@howell.k12.nj.us</t>
  </si>
  <si>
    <t>485 ADELPHIA ROAD</t>
  </si>
  <si>
    <t>Newbury Early Learning Center</t>
  </si>
  <si>
    <t>Ferrigno</t>
  </si>
  <si>
    <t>bferrigno@howell.k12.nj.us</t>
  </si>
  <si>
    <t>179 NEWBURY ROAD</t>
  </si>
  <si>
    <t>Keansburg School District</t>
  </si>
  <si>
    <t>KEANSBURG</t>
  </si>
  <si>
    <t>Keansburg Early Learning Center</t>
  </si>
  <si>
    <t>Hazeldine</t>
  </si>
  <si>
    <t>ahazeldine@keansburg.k12.nj.us</t>
  </si>
  <si>
    <t>142 PORT MONMOUTH ROAD</t>
  </si>
  <si>
    <t>Keyport School District</t>
  </si>
  <si>
    <t>Keyport Central School</t>
  </si>
  <si>
    <t>Flynn</t>
  </si>
  <si>
    <t>kflynn@kpsdschools.org</t>
  </si>
  <si>
    <t>335 BROAD STREET</t>
  </si>
  <si>
    <t>KEYPORT</t>
  </si>
  <si>
    <t>LONG BRANCH PUBLIC SCHOOL District</t>
  </si>
  <si>
    <t>LONG BRANCH</t>
  </si>
  <si>
    <t>Joseph M. Ferraina Early Childhood Learning Center</t>
  </si>
  <si>
    <t>ncarroll@longbranch.k12.nj.us</t>
  </si>
  <si>
    <t>80 AVENEL BOULEVARD</t>
  </si>
  <si>
    <t>Lenna W. Conrow Elementary School</t>
  </si>
  <si>
    <t>Bonita</t>
  </si>
  <si>
    <t>Potter-Brown</t>
  </si>
  <si>
    <t>bpotter-brown@longbranch.k12.nj.us</t>
  </si>
  <si>
    <t>335 LONG BRANCH AVE</t>
  </si>
  <si>
    <t>Morris Avenue Elementry School</t>
  </si>
  <si>
    <t>mjohnson@longbranch.k12.nj.us</t>
  </si>
  <si>
    <t>318 MORRIS AVENUE</t>
  </si>
  <si>
    <t>Little Silver Boro School District</t>
  </si>
  <si>
    <t>LITTLE SILVER</t>
  </si>
  <si>
    <t>Point Road School</t>
  </si>
  <si>
    <t>KATHLEEN</t>
  </si>
  <si>
    <t>STIGLIANO</t>
  </si>
  <si>
    <t>kstigliano@littlesilverschools.org</t>
  </si>
  <si>
    <t>357 LITTLE SILVER POINT ROAD</t>
  </si>
  <si>
    <t>Manalapan-Englishtown Regional School District</t>
  </si>
  <si>
    <t>MANALAPAN</t>
  </si>
  <si>
    <t>John I. Dawes Early Learning Center</t>
  </si>
  <si>
    <t>Foy</t>
  </si>
  <si>
    <t>melissafoy@mersnj.us</t>
  </si>
  <si>
    <t>38 GORDONS CORNER ROAD</t>
  </si>
  <si>
    <t>Manasquan School District</t>
  </si>
  <si>
    <t>Manasquan Elementary School</t>
  </si>
  <si>
    <t>Manetta</t>
  </si>
  <si>
    <t>mmanetta@manasquanboe.org</t>
  </si>
  <si>
    <t>168 Broad Street</t>
  </si>
  <si>
    <t>Manasquan</t>
  </si>
  <si>
    <t>Marlboro Township School District</t>
  </si>
  <si>
    <t>MORGANVILLE</t>
  </si>
  <si>
    <t>David C Abbott Early Learning Center</t>
  </si>
  <si>
    <t>Perno</t>
  </si>
  <si>
    <t>aperno@marlboro.k12.nj.us</t>
  </si>
  <si>
    <t>171 TENNENT ROAD</t>
  </si>
  <si>
    <t>Matawan-Aberdeen Regional School District</t>
  </si>
  <si>
    <t>Cambridge Park Elementary School</t>
  </si>
  <si>
    <t>Bera</t>
  </si>
  <si>
    <t>kbera@marsd.org</t>
  </si>
  <si>
    <t>One Crest Way</t>
  </si>
  <si>
    <t>Aberdeen</t>
  </si>
  <si>
    <t>Cliffwood Elementary School</t>
  </si>
  <si>
    <t>Cherence</t>
  </si>
  <si>
    <t>ccherence@marsd.org</t>
  </si>
  <si>
    <t>422 CLIFFWOOD AVENUE</t>
  </si>
  <si>
    <t>CLIFFWOOD</t>
  </si>
  <si>
    <t>ABERDEEN</t>
  </si>
  <si>
    <t>Ravine Drive Elementary School</t>
  </si>
  <si>
    <t>Cronin</t>
  </si>
  <si>
    <t>scronin@marsd.org</t>
  </si>
  <si>
    <t>170 RAVINE DRIVE</t>
  </si>
  <si>
    <t>Strathmore Elementary School</t>
  </si>
  <si>
    <t>Jerabek</t>
  </si>
  <si>
    <t>jjerabek@marsd.org</t>
  </si>
  <si>
    <t>282 CHURCH STREET</t>
  </si>
  <si>
    <t>Middletown Township Public School District</t>
  </si>
  <si>
    <t>Harmony Elementary School</t>
  </si>
  <si>
    <t>Paulson</t>
  </si>
  <si>
    <t>paulsone@middletownk12.org</t>
  </si>
  <si>
    <t>100 Murphy Road</t>
  </si>
  <si>
    <t>NEW MONMOUTH</t>
  </si>
  <si>
    <t>MIDDLETOWN</t>
  </si>
  <si>
    <t>Middletown Village Elementary School</t>
  </si>
  <si>
    <t>Whitman</t>
  </si>
  <si>
    <t>whitmand@middletownk12.org</t>
  </si>
  <si>
    <t>147 KINGS HIGHWAY</t>
  </si>
  <si>
    <t>Ocean Avenue Elementary School</t>
  </si>
  <si>
    <t>Neil</t>
  </si>
  <si>
    <t>Leone</t>
  </si>
  <si>
    <t>leonen@middletownk12.org</t>
  </si>
  <si>
    <t>235 OCEAN AVENUE</t>
  </si>
  <si>
    <t>NORTH MIDDLETOWN</t>
  </si>
  <si>
    <t>Millstone Township School District</t>
  </si>
  <si>
    <t>Millstone Township Primary School</t>
  </si>
  <si>
    <t>Hobson</t>
  </si>
  <si>
    <t>shobson@millstone.k12.nj.us</t>
  </si>
  <si>
    <t>SCHOOLHOUSE ROAD</t>
  </si>
  <si>
    <t>MILLSTONE TOWNSHIP</t>
  </si>
  <si>
    <t>Monmouth Beach School District</t>
  </si>
  <si>
    <t>Monmouth Beach Elementary School</t>
  </si>
  <si>
    <t>Yelena</t>
  </si>
  <si>
    <t>Horré</t>
  </si>
  <si>
    <t>horre@mbschool.org</t>
  </si>
  <si>
    <t>7 HASTINGS PLACE</t>
  </si>
  <si>
    <t>MONMOUTH BEACH</t>
  </si>
  <si>
    <t>WALL</t>
  </si>
  <si>
    <t>NEPTUNE</t>
  </si>
  <si>
    <t>TINTON FALLS</t>
  </si>
  <si>
    <t>Neptune City School District</t>
  </si>
  <si>
    <t>Woodrow Wilson</t>
  </si>
  <si>
    <t>Boccuti</t>
  </si>
  <si>
    <t>rboccuti@neptunecityschool.org</t>
  </si>
  <si>
    <t>210 WEST SYLVANIA AVE</t>
  </si>
  <si>
    <t>NEPTUNE CITY</t>
  </si>
  <si>
    <t>Neptune Township School District</t>
  </si>
  <si>
    <t>Gables Elementary School</t>
  </si>
  <si>
    <t>Thomsen</t>
  </si>
  <si>
    <t>kthomsen@neptune.k12.nj.us</t>
  </si>
  <si>
    <t>1 Gables Court</t>
  </si>
  <si>
    <t>Green Grove Elementary School</t>
  </si>
  <si>
    <t>Nulle</t>
  </si>
  <si>
    <t>jmnulle@neptune.k12.nj.us</t>
  </si>
  <si>
    <t>909 GREEN GROVE ROAD</t>
  </si>
  <si>
    <t>Midtown Community Elementary School</t>
  </si>
  <si>
    <t>Alfone</t>
  </si>
  <si>
    <t>mkalfone@neptune.k12.nj.us</t>
  </si>
  <si>
    <t>1155 Corlies Ave</t>
  </si>
  <si>
    <t>Shark River Hills Elementary School</t>
  </si>
  <si>
    <t>jloveland@neptune.k12.nj.us</t>
  </si>
  <si>
    <t>312 BRIGHTON AVENUE</t>
  </si>
  <si>
    <t>Summerfield Elementary School</t>
  </si>
  <si>
    <t>Jerard</t>
  </si>
  <si>
    <t>jterrell@neptune.k12.nj.us</t>
  </si>
  <si>
    <t>1 Summerfield La</t>
  </si>
  <si>
    <t>Oceanport School District</t>
  </si>
  <si>
    <t>OCEANPORT</t>
  </si>
  <si>
    <t>Wolf Hill School</t>
  </si>
  <si>
    <t>Maglione</t>
  </si>
  <si>
    <t>mmaglione@oceanportschools.org</t>
  </si>
  <si>
    <t>29 WOLF HILL AVENUE</t>
  </si>
  <si>
    <t>Red Bank Borough Public School District</t>
  </si>
  <si>
    <t>Red Bank Primary School</t>
  </si>
  <si>
    <t>iozzim@rbb.k12.nj.us</t>
  </si>
  <si>
    <t>222 RIVER STREET</t>
  </si>
  <si>
    <t>RED  BANK</t>
  </si>
  <si>
    <t>Shrewsbury Borough School District</t>
  </si>
  <si>
    <t>Shrewsbury Borough Elementary School</t>
  </si>
  <si>
    <t>Brent</t>
  </si>
  <si>
    <t>MacConnell</t>
  </si>
  <si>
    <t>macconnellb@sbs-nj.org</t>
  </si>
  <si>
    <t>20 OBRE PLACE</t>
  </si>
  <si>
    <t>SHREWSBURY</t>
  </si>
  <si>
    <t>Spring Lake Borough</t>
  </si>
  <si>
    <t>H W Mountz Elementary School</t>
  </si>
  <si>
    <t>Layton</t>
  </si>
  <si>
    <t>dlayton@hwmountz.k12.nj.us</t>
  </si>
  <si>
    <t>411 Tuttle Ave</t>
  </si>
  <si>
    <t>Spring Lake</t>
  </si>
  <si>
    <t>Tinton Falls School District</t>
  </si>
  <si>
    <t>Mahala F. Atchison School</t>
  </si>
  <si>
    <t>kmignoli@tfschools.org</t>
  </si>
  <si>
    <t>961 SYCAMORE AVENUE</t>
  </si>
  <si>
    <t>Black</t>
  </si>
  <si>
    <t>Township of Ocean School District</t>
  </si>
  <si>
    <t>Ocean Township Elementary School</t>
  </si>
  <si>
    <t>Lopusznick</t>
  </si>
  <si>
    <t>mlopusznick@oceanschools.org</t>
  </si>
  <si>
    <t>555 DOW AVENUE</t>
  </si>
  <si>
    <t>OAKHURST</t>
  </si>
  <si>
    <t>Wanamassa Elementary School</t>
  </si>
  <si>
    <t>Bosmans</t>
  </si>
  <si>
    <t>jbosmans@oceanschools.org</t>
  </si>
  <si>
    <t>901 BENDERMERE AVENUE</t>
  </si>
  <si>
    <t>WANAMASSA</t>
  </si>
  <si>
    <t>Wayside Elementary School</t>
  </si>
  <si>
    <t>Palaia</t>
  </si>
  <si>
    <t>dpalaia@oceanschools.org</t>
  </si>
  <si>
    <t>733 BOWNE ROAD</t>
  </si>
  <si>
    <t>Union Beach Public School District</t>
  </si>
  <si>
    <t>Savicky</t>
  </si>
  <si>
    <t>ksavicky@unionbeachschools.org</t>
  </si>
  <si>
    <t>221 MORNINGSIDE AVENUE</t>
  </si>
  <si>
    <t>UNION BEACH</t>
  </si>
  <si>
    <t>Upper Freehold Regional School District</t>
  </si>
  <si>
    <t>ALLENTOWN</t>
  </si>
  <si>
    <t>Newell Elementary School</t>
  </si>
  <si>
    <t>Huggins</t>
  </si>
  <si>
    <t>HugginK@ufrsd.net</t>
  </si>
  <si>
    <t>27 HIGH STREET</t>
  </si>
  <si>
    <t>Wall Township Public School District</t>
  </si>
  <si>
    <t>Wall Primary School</t>
  </si>
  <si>
    <t>Bagarozza</t>
  </si>
  <si>
    <t>sbagarozza@wallpublicschools.org</t>
  </si>
  <si>
    <t>2500 BEDFORD CORNER LANE</t>
  </si>
  <si>
    <t>West Long Branch School District</t>
  </si>
  <si>
    <t>Betty McElmon Elementary School</t>
  </si>
  <si>
    <t>Erhardt</t>
  </si>
  <si>
    <t>jerhardt@wlbschools.com</t>
  </si>
  <si>
    <t>20 Parker Road</t>
  </si>
  <si>
    <t>West Long Branch</t>
  </si>
  <si>
    <t>Boonton Town Public School District</t>
  </si>
  <si>
    <t>Boonton High School</t>
  </si>
  <si>
    <t>Klebez</t>
  </si>
  <si>
    <t>jason.klebez@boontonschools.org</t>
  </si>
  <si>
    <t>306 LATHROP AVENUE</t>
  </si>
  <si>
    <t>BOONTON</t>
  </si>
  <si>
    <t>John Hill School</t>
  </si>
  <si>
    <t>Brogan</t>
  </si>
  <si>
    <t>sara.brogan@boontonschools.org</t>
  </si>
  <si>
    <t>435 LATHROP AVENUE</t>
  </si>
  <si>
    <t>School Street School</t>
  </si>
  <si>
    <t>Schessler</t>
  </si>
  <si>
    <t>alison.schessler@boontonschools.org</t>
  </si>
  <si>
    <t>720 BIRCH STREET</t>
  </si>
  <si>
    <t>Boonton Township School District</t>
  </si>
  <si>
    <t>Rockaway Valley School</t>
  </si>
  <si>
    <t>Frattini</t>
  </si>
  <si>
    <t>kfrattini@btrvs.org</t>
  </si>
  <si>
    <t>11 VALLEY ROAD</t>
  </si>
  <si>
    <t>BOONTON TOWNSHIP</t>
  </si>
  <si>
    <t>Chester Township School District</t>
  </si>
  <si>
    <t>Chester</t>
  </si>
  <si>
    <t>Dickerson Elementary School</t>
  </si>
  <si>
    <t>Tarnofsky</t>
  </si>
  <si>
    <t>michele.tarnofsky@chester-nj.org</t>
  </si>
  <si>
    <t>250 Rt. 24</t>
  </si>
  <si>
    <t>Dover Public School District</t>
  </si>
  <si>
    <t>Academy Street Elementary School</t>
  </si>
  <si>
    <t>Nick</t>
  </si>
  <si>
    <t>nedwards@dover-nj.org</t>
  </si>
  <si>
    <t>14 ACADEMY STREET</t>
  </si>
  <si>
    <t>DOVER</t>
  </si>
  <si>
    <t>East Dover Elementary School</t>
  </si>
  <si>
    <t>Chuy</t>
  </si>
  <si>
    <t>jchuy@dover-nj.org</t>
  </si>
  <si>
    <t>300 EAST MCFARLAN STREET</t>
  </si>
  <si>
    <t>North Dover Elementary School</t>
  </si>
  <si>
    <t>Carlton</t>
  </si>
  <si>
    <t>hcarlton@dover-nj.org</t>
  </si>
  <si>
    <t>51 HIGHLAND AVENUE</t>
  </si>
  <si>
    <t>East Hanover Township School District</t>
  </si>
  <si>
    <t>EAST HANOVER</t>
  </si>
  <si>
    <t>Frank J Smith Elementary</t>
  </si>
  <si>
    <t>Tuorto</t>
  </si>
  <si>
    <t>mtuorto@easthanoverschools.org</t>
  </si>
  <si>
    <t>27 GREEN DRIVE</t>
  </si>
  <si>
    <t>Hanover Township School District</t>
  </si>
  <si>
    <t>Bee Meadow School</t>
  </si>
  <si>
    <t>Darrin</t>
  </si>
  <si>
    <t>Stark</t>
  </si>
  <si>
    <t>darrin.stark@hanovertwpschools.org</t>
  </si>
  <si>
    <t>120 Reynolds Avenue</t>
  </si>
  <si>
    <t>Whippany</t>
  </si>
  <si>
    <t>MORRIS PLAINS</t>
  </si>
  <si>
    <t>Jefferson Township Public School District</t>
  </si>
  <si>
    <t>Cozy Lake Elementary School</t>
  </si>
  <si>
    <t>Valenti</t>
  </si>
  <si>
    <t>mvalenti@jefftwp.org</t>
  </si>
  <si>
    <t>205 COZY LAKE ROAD</t>
  </si>
  <si>
    <t>OAK RIDGE</t>
  </si>
  <si>
    <t>Ellen T. Briggs Elementary School</t>
  </si>
  <si>
    <t>Randi</t>
  </si>
  <si>
    <t>DeBrito</t>
  </si>
  <si>
    <t>rdebrito@jefftwp.org</t>
  </si>
  <si>
    <t>1 JEFFERSON DRIVE</t>
  </si>
  <si>
    <t>LAKE HOPATCONG</t>
  </si>
  <si>
    <t>Lincoln Park School District</t>
  </si>
  <si>
    <t>Lincoln Park Elementary School</t>
  </si>
  <si>
    <t>Flach-Bammer</t>
  </si>
  <si>
    <t>Bammer@lincpk.com</t>
  </si>
  <si>
    <t>274 PINEBROOK ROAD</t>
  </si>
  <si>
    <t>LINCOLN PARK</t>
  </si>
  <si>
    <t>Long Hill Township School District</t>
  </si>
  <si>
    <t>Gillette Elementary School</t>
  </si>
  <si>
    <t>ljones@longhill.org</t>
  </si>
  <si>
    <t>759 Valley Road</t>
  </si>
  <si>
    <t>Gillette</t>
  </si>
  <si>
    <t>Madison Public School District</t>
  </si>
  <si>
    <t>Central Avenue School</t>
  </si>
  <si>
    <t>Liss</t>
  </si>
  <si>
    <t>LissT@MadisonNJPS.org</t>
  </si>
  <si>
    <t>50 CENTRAL AVENUE</t>
  </si>
  <si>
    <t>MADISON</t>
  </si>
  <si>
    <t>Mendham Borough School District</t>
  </si>
  <si>
    <t>Mucha</t>
  </si>
  <si>
    <t>mucha@mendhamboroschools.org</t>
  </si>
  <si>
    <t>12 HILLTOP ROAD</t>
  </si>
  <si>
    <t>MENDHAM</t>
  </si>
  <si>
    <t>Mendham Township School District</t>
  </si>
  <si>
    <t>Mendham Township Elementary School</t>
  </si>
  <si>
    <t>Kotcho</t>
  </si>
  <si>
    <t>jkotcho@mendhamtwp.org</t>
  </si>
  <si>
    <t>18 WEST MAIN STREET</t>
  </si>
  <si>
    <t>BROOKSIDE</t>
  </si>
  <si>
    <t>Mine Hill Township School District</t>
  </si>
  <si>
    <t>Canfield Avenue School</t>
  </si>
  <si>
    <t>Zygmunt</t>
  </si>
  <si>
    <t>azygmunt@minehillcas.org</t>
  </si>
  <si>
    <t>42 CANFIELD AVENUE</t>
  </si>
  <si>
    <t>MINE HILL</t>
  </si>
  <si>
    <t>Montville Township School District</t>
  </si>
  <si>
    <t>patricia.kennedy@montville.net</t>
  </si>
  <si>
    <t>30 MONTGOMERY AVENUE</t>
  </si>
  <si>
    <t>MONTVILLE TOWNSHIP</t>
  </si>
  <si>
    <t>ROCKAWAY</t>
  </si>
  <si>
    <t>Morris Plains School District</t>
  </si>
  <si>
    <t>Mountain Way School</t>
  </si>
  <si>
    <t>Lion-Bailey</t>
  </si>
  <si>
    <t>clionbailey@mpsdk8.org</t>
  </si>
  <si>
    <t>205 Mountain Way</t>
  </si>
  <si>
    <t>Morris School District</t>
  </si>
  <si>
    <t>Lafayette Learning Center</t>
  </si>
  <si>
    <t>Adames</t>
  </si>
  <si>
    <t>jacquelyn.adames@msdk12.net</t>
  </si>
  <si>
    <t>31 HAZEL STREET</t>
  </si>
  <si>
    <t>Sparano</t>
  </si>
  <si>
    <t>Robert.Sparano@msdk12.net</t>
  </si>
  <si>
    <t>125 SUSSEX AVENUE</t>
  </si>
  <si>
    <t>Mount Arlington Public School District</t>
  </si>
  <si>
    <t>Edith M. Decker Elementary School</t>
  </si>
  <si>
    <t>Coladarci</t>
  </si>
  <si>
    <t>jcoladarci@mtarlingtonk8.org</t>
  </si>
  <si>
    <t>446 HOWARD BOULEVARD</t>
  </si>
  <si>
    <t>MT  ARLINGTON</t>
  </si>
  <si>
    <t>Mountain Lakes Public School District</t>
  </si>
  <si>
    <t>Lake Drive Program for Hearing Impaired</t>
  </si>
  <si>
    <t>Lazeration</t>
  </si>
  <si>
    <t>jlazeration@mlschools.org</t>
  </si>
  <si>
    <t>10 LAKE DRIVE</t>
  </si>
  <si>
    <t>MOUNTAIN LAKES</t>
  </si>
  <si>
    <t>Netcong School District</t>
  </si>
  <si>
    <t>Netcong Elementary School</t>
  </si>
  <si>
    <t>Ceresnak</t>
  </si>
  <si>
    <t>kceresnak@netcongschool.org</t>
  </si>
  <si>
    <t>26 COLLEGE ROAD</t>
  </si>
  <si>
    <t>NETCONG</t>
  </si>
  <si>
    <t>Parsippany-Troy Hills Township School District</t>
  </si>
  <si>
    <t>Parsippany</t>
  </si>
  <si>
    <t>Eastlake Elementary School</t>
  </si>
  <si>
    <t>Sebastian</t>
  </si>
  <si>
    <t>sppowell@pthsd.net</t>
  </si>
  <si>
    <t>40 Eba Road</t>
  </si>
  <si>
    <t>Lake Hiawatha</t>
  </si>
  <si>
    <t>Lake Hiawatha Elementary School</t>
  </si>
  <si>
    <t>Figurelli</t>
  </si>
  <si>
    <t>spfigurelli@pthsd.net</t>
  </si>
  <si>
    <t>1 Lincoln Avenue</t>
  </si>
  <si>
    <t>Pequannock Township School District</t>
  </si>
  <si>
    <t>Pompton Plains</t>
  </si>
  <si>
    <t>North Boulevard School</t>
  </si>
  <si>
    <t>Scillieri</t>
  </si>
  <si>
    <t>elissa.scillieri@pequannock.org</t>
  </si>
  <si>
    <t>363 Boulevard</t>
  </si>
  <si>
    <t>Randolph Township School District</t>
  </si>
  <si>
    <t>Center Grove School</t>
  </si>
  <si>
    <t>Rodas</t>
  </si>
  <si>
    <t>mrodas@rtnj.org</t>
  </si>
  <si>
    <t>25 SCHOOL HOUSE ROAD</t>
  </si>
  <si>
    <t>RANDOLPH</t>
  </si>
  <si>
    <t>Riverdale School District</t>
  </si>
  <si>
    <t>Riverdale School</t>
  </si>
  <si>
    <t>Sernatinger</t>
  </si>
  <si>
    <t>msernatinger@rpsnj.org</t>
  </si>
  <si>
    <t>52 NEWARK POMPTON TURNPIKE</t>
  </si>
  <si>
    <t>RIVERDALE</t>
  </si>
  <si>
    <t>Rockaway Borough School District</t>
  </si>
  <si>
    <t>Skomial</t>
  </si>
  <si>
    <t>mdachisen@rockboro.org</t>
  </si>
  <si>
    <t>37 KELLER AVENUE</t>
  </si>
  <si>
    <t>Rockaway Township School District</t>
  </si>
  <si>
    <t>Birchwood Elementary School</t>
  </si>
  <si>
    <t>Macones</t>
  </si>
  <si>
    <t>jmacones@rocktwp.net</t>
  </si>
  <si>
    <t>1 ART STREET</t>
  </si>
  <si>
    <t>Piano</t>
  </si>
  <si>
    <t>Roxbury Township School District</t>
  </si>
  <si>
    <t>SUCCASUNNA</t>
  </si>
  <si>
    <t>Hamer</t>
  </si>
  <si>
    <t>bhamer@roxbury.org</t>
  </si>
  <si>
    <t>8 MEEKER STREET</t>
  </si>
  <si>
    <t>nacevedo@roxbury.org</t>
  </si>
  <si>
    <t>20 PLEASANT HILL ROAD</t>
  </si>
  <si>
    <t>Nixon Elementary School</t>
  </si>
  <si>
    <t>dlynch@roxbury.org</t>
  </si>
  <si>
    <t>275 MT  ARLINGTON BOULEVARD</t>
  </si>
  <si>
    <t>LANDING</t>
  </si>
  <si>
    <t>School District of the Chathams</t>
  </si>
  <si>
    <t>CHATHAM</t>
  </si>
  <si>
    <t>Milton Avenue School</t>
  </si>
  <si>
    <t>Crawford</t>
  </si>
  <si>
    <t>kcrawford@chatham-nj.org</t>
  </si>
  <si>
    <t>16 MILTON AVENUE</t>
  </si>
  <si>
    <t>Washington Avenue School</t>
  </si>
  <si>
    <t>Dudlo</t>
  </si>
  <si>
    <t>kdudlo@chatham-nj.org</t>
  </si>
  <si>
    <t>102 WASHINGTON AVENUE</t>
  </si>
  <si>
    <t>Benedict A. Cucinella School</t>
  </si>
  <si>
    <t>Perruso</t>
  </si>
  <si>
    <t>cperruso@wtschools.org</t>
  </si>
  <si>
    <t>470 NAUGHRIGHT ROAD</t>
  </si>
  <si>
    <t>LONG VALLEY</t>
  </si>
  <si>
    <t>Flocktown-Kossmann Elementary School</t>
  </si>
  <si>
    <t>Marangon</t>
  </si>
  <si>
    <t>CMarangon@wtschools.org</t>
  </si>
  <si>
    <t>90 FLOCKTOWN ROAD</t>
  </si>
  <si>
    <t>Old Farmers Road School</t>
  </si>
  <si>
    <t>Hawkswell</t>
  </si>
  <si>
    <t>JHawkswell@wtschools.org</t>
  </si>
  <si>
    <t>51 OLD FARMERS ROAD</t>
  </si>
  <si>
    <t>Wharton Borough School District</t>
  </si>
  <si>
    <t>137 East Central Avenue</t>
  </si>
  <si>
    <t>Wharton</t>
  </si>
  <si>
    <t>Marie V. Duffy Elementary School</t>
  </si>
  <si>
    <t>PAMELA</t>
  </si>
  <si>
    <t>BLALOCK</t>
  </si>
  <si>
    <t>pblalock@wbps.org</t>
  </si>
  <si>
    <t>Barnegat Township School District</t>
  </si>
  <si>
    <t>BARNEGAT</t>
  </si>
  <si>
    <t>Lillian M. Dunfee Elementary</t>
  </si>
  <si>
    <t>Froehlich</t>
  </si>
  <si>
    <t>jfroehlich@barnegatschools.com</t>
  </si>
  <si>
    <t>128 BARNEGAT BLVD</t>
  </si>
  <si>
    <t>Beach Haven School District</t>
  </si>
  <si>
    <t>Beach Haven School</t>
  </si>
  <si>
    <t>Loeffler</t>
  </si>
  <si>
    <t>tloeffler@beachhavenschool.com</t>
  </si>
  <si>
    <t>700 North Beach Ave.</t>
  </si>
  <si>
    <t>Beach Haven</t>
  </si>
  <si>
    <t>Berkeley Township School District</t>
  </si>
  <si>
    <t>Bayville Elementary School</t>
  </si>
  <si>
    <t>Rieder</t>
  </si>
  <si>
    <t>srieder@btboe.org</t>
  </si>
  <si>
    <t>356 ATLANTIC CITY BLVD</t>
  </si>
  <si>
    <t>BAYVILLE</t>
  </si>
  <si>
    <t>Clara B. Worth Elementary School</t>
  </si>
  <si>
    <t>cburton@btboe.org</t>
  </si>
  <si>
    <t>57 CENTRAL PARKWAY</t>
  </si>
  <si>
    <t>H &amp; M Potter School</t>
  </si>
  <si>
    <t>Cimino</t>
  </si>
  <si>
    <t>acimino@btboe.org</t>
  </si>
  <si>
    <t>60 VEEDER LANE</t>
  </si>
  <si>
    <t>Brick Township Public School District</t>
  </si>
  <si>
    <t>BRICK</t>
  </si>
  <si>
    <t>Herbertsville Early Childhood Development Center</t>
  </si>
  <si>
    <t>Hrycenko</t>
  </si>
  <si>
    <t>whrycenko@brickschools.org</t>
  </si>
  <si>
    <t>2282 LANES MILL RD</t>
  </si>
  <si>
    <t>Warren H. Wolf Early Childhood Development Center</t>
  </si>
  <si>
    <t>Goodfellow</t>
  </si>
  <si>
    <t>tgoodfellow@brickschools.org</t>
  </si>
  <si>
    <t>224 CHAMBERS BRIDGE RD</t>
  </si>
  <si>
    <t>Firetto</t>
  </si>
  <si>
    <t>Eagleswood Township School District</t>
  </si>
  <si>
    <t>Eagleswood Elementary School</t>
  </si>
  <si>
    <t>kyoung@etesd.com</t>
  </si>
  <si>
    <t>511 ROUTE 9</t>
  </si>
  <si>
    <t>WEST CREEK</t>
  </si>
  <si>
    <t>Island Heights School District</t>
  </si>
  <si>
    <t>Island Heights Elementary School</t>
  </si>
  <si>
    <t>Royer</t>
  </si>
  <si>
    <t>lroyer@islandheights.k12.nj.us</t>
  </si>
  <si>
    <t>115 SUMMIT AVE</t>
  </si>
  <si>
    <t>ISLAND HEIGHTS</t>
  </si>
  <si>
    <t>Jackson Township School District</t>
  </si>
  <si>
    <t>Phillips</t>
  </si>
  <si>
    <t>Crawford-Rodriguez Elementary School</t>
  </si>
  <si>
    <t>Polakowski</t>
  </si>
  <si>
    <t>rpolakowski@jacksonsd.org</t>
  </si>
  <si>
    <t>1025 Larsen Road</t>
  </si>
  <si>
    <t>Elms Elementary School</t>
  </si>
  <si>
    <t>Burgos</t>
  </si>
  <si>
    <t>MBurgos@jacksonsd.org</t>
  </si>
  <si>
    <t>780 Patterson Road</t>
  </si>
  <si>
    <t>Howard C. Johnson Elementary School</t>
  </si>
  <si>
    <t>Licitra</t>
  </si>
  <si>
    <t>tlicitra@jacksonsd.org</t>
  </si>
  <si>
    <t>1021 Larsen Road</t>
  </si>
  <si>
    <t>Jackson Memorial High School</t>
  </si>
  <si>
    <t>DiEugenio</t>
  </si>
  <si>
    <t>KADieugenio@jacksonsd.org</t>
  </si>
  <si>
    <t>101 Don Connor Boulevard</t>
  </si>
  <si>
    <t>Lucy N. Holman Elementary School</t>
  </si>
  <si>
    <t>Karas</t>
  </si>
  <si>
    <t>RKaras@jacksonsd.org</t>
  </si>
  <si>
    <t>125 Manhattan Street</t>
  </si>
  <si>
    <t>Switlik Elementary School</t>
  </si>
  <si>
    <t>msaulnier@jacksonsd.org</t>
  </si>
  <si>
    <t>75 West Veterans Highway</t>
  </si>
  <si>
    <t>Lacey Township School District</t>
  </si>
  <si>
    <t>LANOKA HARBOR</t>
  </si>
  <si>
    <t>Mill Pond Elementary School</t>
  </si>
  <si>
    <t>Joanie</t>
  </si>
  <si>
    <t>Donohue</t>
  </si>
  <si>
    <t>jdonohue@laceyschools.org</t>
  </si>
  <si>
    <t>210 WESTERN BLVD</t>
  </si>
  <si>
    <t>Lakehurst School District</t>
  </si>
  <si>
    <t>Lakehurst Elementary School</t>
  </si>
  <si>
    <t>Fuhring</t>
  </si>
  <si>
    <t>lfuhring@lakehurstschool.org</t>
  </si>
  <si>
    <t>301 UNION AVE</t>
  </si>
  <si>
    <t>LAKEHURST</t>
  </si>
  <si>
    <t>Lakewood Township School District</t>
  </si>
  <si>
    <t>LAKEWOOD</t>
  </si>
  <si>
    <t>Lakewood Early Childhood Center</t>
  </si>
  <si>
    <t>Garfunkel</t>
  </si>
  <si>
    <t>sgarfunkel@lakewoodpiners.org</t>
  </si>
  <si>
    <t>Piner Elementary School</t>
  </si>
  <si>
    <t>Chirichello</t>
  </si>
  <si>
    <t>lchirichello@lakewoodpiners.org</t>
  </si>
  <si>
    <t>1141 E County Line Road</t>
  </si>
  <si>
    <t>Lavallette Borough School District</t>
  </si>
  <si>
    <t>Lavallette Elementary School</t>
  </si>
  <si>
    <t>lgleason@lavallettek12.org</t>
  </si>
  <si>
    <t>105 Brooklyn Ave.</t>
  </si>
  <si>
    <t>Lavallette</t>
  </si>
  <si>
    <t>Little Egg Harbor Township School District</t>
  </si>
  <si>
    <t>Robert C. Wood Sr Early Childhood Center</t>
  </si>
  <si>
    <t>Aflynn@lehsd.org</t>
  </si>
  <si>
    <t>950 Route 539</t>
  </si>
  <si>
    <t>Little Egg Harbor</t>
  </si>
  <si>
    <t>Long Beach Island School District</t>
  </si>
  <si>
    <t>Ethel A. Jacobsen Elementary School</t>
  </si>
  <si>
    <t>Birney</t>
  </si>
  <si>
    <t>fbirney@lbischools.org</t>
  </si>
  <si>
    <t>200 S. BARNEGAT AVENUE</t>
  </si>
  <si>
    <t>SURF CITY</t>
  </si>
  <si>
    <t>Manchester Township School District</t>
  </si>
  <si>
    <t>Manchester Regional Day School</t>
  </si>
  <si>
    <t>Michallis</t>
  </si>
  <si>
    <t>lmichallis@mtschools.org</t>
  </si>
  <si>
    <t>890 TOMS RIVER ROAD</t>
  </si>
  <si>
    <t>JACKSON</t>
  </si>
  <si>
    <t>Manchester Township Elementary School</t>
  </si>
  <si>
    <t>Healy</t>
  </si>
  <si>
    <t>ehealy@mtschools.org</t>
  </si>
  <si>
    <t>101 N  COLONIAL DRIVE</t>
  </si>
  <si>
    <t>MANCHESTER</t>
  </si>
  <si>
    <t>Ridgeway Elementary School</t>
  </si>
  <si>
    <t>Thiffault</t>
  </si>
  <si>
    <t>sthiffault@mtschools.org</t>
  </si>
  <si>
    <t>2861 RIDGEWAY RD</t>
  </si>
  <si>
    <t>Whiting Elementary School</t>
  </si>
  <si>
    <t>Swift</t>
  </si>
  <si>
    <t>eswift@mtschools.org</t>
  </si>
  <si>
    <t>412 MANCHESTER BLVD</t>
  </si>
  <si>
    <t>WHITING</t>
  </si>
  <si>
    <t>TOMS RIVER</t>
  </si>
  <si>
    <t>WARETOWN</t>
  </si>
  <si>
    <t>Ocean Gate School District</t>
  </si>
  <si>
    <t>Ocean Gate Elementary School</t>
  </si>
  <si>
    <t>Ott</t>
  </si>
  <si>
    <t>patterson@oceangateschool.net</t>
  </si>
  <si>
    <t>126 WEST ARVERNE AVENUE</t>
  </si>
  <si>
    <t>OCEAN GATE</t>
  </si>
  <si>
    <t>Ocean Township School District</t>
  </si>
  <si>
    <t>Waretown Elementary School</t>
  </si>
  <si>
    <t>Reinhold</t>
  </si>
  <si>
    <t>sreinhold@otsdk6.org</t>
  </si>
  <si>
    <t>64 RAILROAD AVENUE</t>
  </si>
  <si>
    <t>Plumsted Township School District</t>
  </si>
  <si>
    <t>NEW EGYPT</t>
  </si>
  <si>
    <t>New Egypt Primary School</t>
  </si>
  <si>
    <t>Nechamkin</t>
  </si>
  <si>
    <t>nechamkina@newegypt.us</t>
  </si>
  <si>
    <t>131 EVERGREEN ROAD</t>
  </si>
  <si>
    <t>Point Pleasant Borough School District</t>
  </si>
  <si>
    <t>POINT PLEASANT</t>
  </si>
  <si>
    <t>Nellie F. Bennett Elementary School</t>
  </si>
  <si>
    <t>Karaba</t>
  </si>
  <si>
    <t>jkaraba@pointpleasant.k12.nj.us</t>
  </si>
  <si>
    <t>2000 RIVIERA PARKWAY</t>
  </si>
  <si>
    <t>Ocean Road Elementary School</t>
  </si>
  <si>
    <t>Buck</t>
  </si>
  <si>
    <t>sbuck@pointpleasant.k12.nj.us</t>
  </si>
  <si>
    <t>1210 BENEDICT STREET</t>
  </si>
  <si>
    <t>Seaside Heights School District</t>
  </si>
  <si>
    <t>Hugh J. Boyd Jr. Elementary School</t>
  </si>
  <si>
    <t>Raichle</t>
  </si>
  <si>
    <t>craichle@sshschool.org</t>
  </si>
  <si>
    <t>1200 BAY BOULEVARD</t>
  </si>
  <si>
    <t>SEASIDE HTS</t>
  </si>
  <si>
    <t>Stafford Township School District</t>
  </si>
  <si>
    <t>1000 McKinley Avenue</t>
  </si>
  <si>
    <t>Manahawkin</t>
  </si>
  <si>
    <t>Ocean Acres Elementary School</t>
  </si>
  <si>
    <t>sdalessandro@staffordschools.org</t>
  </si>
  <si>
    <t>489 Nautilus Drive</t>
  </si>
  <si>
    <t>Oxycocus Elementary School</t>
  </si>
  <si>
    <t>Wilkinson</t>
  </si>
  <si>
    <t>wwilkinson@staffordschools.org</t>
  </si>
  <si>
    <t>250 North Main Street</t>
  </si>
  <si>
    <t>Ronald L. Meinders Primary Learning Center</t>
  </si>
  <si>
    <t>Reo</t>
  </si>
  <si>
    <t>dreo@staffordschools.org</t>
  </si>
  <si>
    <t>Toms River Regional School District</t>
  </si>
  <si>
    <t>Cedar Grove Elementary School</t>
  </si>
  <si>
    <t>Monetti</t>
  </si>
  <si>
    <t>smonetti@trschools.com</t>
  </si>
  <si>
    <t>179 CEDAR GROVE ROAD</t>
  </si>
  <si>
    <t>mgray@trschools.com</t>
  </si>
  <si>
    <t>725 VAUGHN AVENUE</t>
  </si>
  <si>
    <t>cmcgrath@trschools.com</t>
  </si>
  <si>
    <t>1759 NEW HAMPSHIRE AVENUE</t>
  </si>
  <si>
    <t>Silver Bay Elementary School</t>
  </si>
  <si>
    <t>DeVita</t>
  </si>
  <si>
    <t>mdevita@trschools.com</t>
  </si>
  <si>
    <t>100 SILVER BAY ROAD</t>
  </si>
  <si>
    <t>Tuckerton Borough School District</t>
  </si>
  <si>
    <t>Tuckerton Elementary School</t>
  </si>
  <si>
    <t>Siobhan</t>
  </si>
  <si>
    <t>sgrayson@tesnj.com</t>
  </si>
  <si>
    <t>MARINE STREET</t>
  </si>
  <si>
    <t>TUCKERTON</t>
  </si>
  <si>
    <t>Bloomingdale School District</t>
  </si>
  <si>
    <t>Martha B. Day Elementary School</t>
  </si>
  <si>
    <t>Ariemma</t>
  </si>
  <si>
    <t>aariemma@bpsnj.org</t>
  </si>
  <si>
    <t>225 RAFKIND ROAD</t>
  </si>
  <si>
    <t>BLOOMINGDALE</t>
  </si>
  <si>
    <t>Samuel R. Donald Elementary School</t>
  </si>
  <si>
    <t>Kerridyn</t>
  </si>
  <si>
    <t>Trusheim</t>
  </si>
  <si>
    <t>ktrusheim@bpsnj.org</t>
  </si>
  <si>
    <t>29 CAPTOLENE AVENUE</t>
  </si>
  <si>
    <t>Clifton Public School District</t>
  </si>
  <si>
    <t>Clifton Early Learner Academies - Allwood</t>
  </si>
  <si>
    <t>Papamarkos</t>
  </si>
  <si>
    <t>mpapamarkos@cliftonschools.net</t>
  </si>
  <si>
    <t>39 Allwood Road</t>
  </si>
  <si>
    <t>Clifton</t>
  </si>
  <si>
    <t>Clifton Early Learner Academies - Brighton</t>
  </si>
  <si>
    <t>290 Brighton Road</t>
  </si>
  <si>
    <t>School #1</t>
  </si>
  <si>
    <t>Caiafa-Romeo</t>
  </si>
  <si>
    <t>mcaiafa-romeo@cliftonschools.net</t>
  </si>
  <si>
    <t>158 PARK SLOPE</t>
  </si>
  <si>
    <t>School #12</t>
  </si>
  <si>
    <t>Rosmunda</t>
  </si>
  <si>
    <t>Kenning</t>
  </si>
  <si>
    <t>rkenning@cliftonschools.net</t>
  </si>
  <si>
    <t>165 CLIFTON AVENUE</t>
  </si>
  <si>
    <t>School #14</t>
  </si>
  <si>
    <t>Taras</t>
  </si>
  <si>
    <t>Petryshyn</t>
  </si>
  <si>
    <t>tpetryshyn@cliftonschools.net</t>
  </si>
  <si>
    <t>99 ST  ANDREWS BOULEVARD</t>
  </si>
  <si>
    <t>School #15</t>
  </si>
  <si>
    <t>Luginda</t>
  </si>
  <si>
    <t>Batten-Walker</t>
  </si>
  <si>
    <t>lbatten-walker@cliftonschools.net</t>
  </si>
  <si>
    <t>700 GREGORY AVENUE</t>
  </si>
  <si>
    <t>School #17</t>
  </si>
  <si>
    <t>lzagorski@cliftonschools.net</t>
  </si>
  <si>
    <t>361 LEXINGTON AVENUE</t>
  </si>
  <si>
    <t>sanderson@cliftonschools.net</t>
  </si>
  <si>
    <t>136 VALLEY ROAD</t>
  </si>
  <si>
    <t>Haledon Public School District</t>
  </si>
  <si>
    <t>Haledon Public School</t>
  </si>
  <si>
    <t>Wacha</t>
  </si>
  <si>
    <t>cwacha@haledon.org</t>
  </si>
  <si>
    <t>91 HENRY STREET</t>
  </si>
  <si>
    <t>HALEDON</t>
  </si>
  <si>
    <t>Hawthorne Public School District</t>
  </si>
  <si>
    <t>HAWTHORNE</t>
  </si>
  <si>
    <t>Pisacane</t>
  </si>
  <si>
    <t>jpisacane@hawthorne.k12.nj.us</t>
  </si>
  <si>
    <t>50 ROOSEVELT AVENUE</t>
  </si>
  <si>
    <t>Passero</t>
  </si>
  <si>
    <t>jpassero@hawthorne.k12.nj.us</t>
  </si>
  <si>
    <t>176 MOHAWK AVENUE</t>
  </si>
  <si>
    <t>WANAQUE</t>
  </si>
  <si>
    <t>Little Falls Township Public School District</t>
  </si>
  <si>
    <t>LITTLE FALLS</t>
  </si>
  <si>
    <t>Little Falls Township Public School # 2</t>
  </si>
  <si>
    <t>Castaldo</t>
  </si>
  <si>
    <t>jcastaldo@lfschools.org</t>
  </si>
  <si>
    <t>Little Falls School # 2</t>
  </si>
  <si>
    <t>North Haledon School District</t>
  </si>
  <si>
    <t>NORTH HALEDON</t>
  </si>
  <si>
    <t>Tait</t>
  </si>
  <si>
    <t>mtait@nhschools.net</t>
  </si>
  <si>
    <t>201 Squaw Brook Rd.</t>
  </si>
  <si>
    <t>Passaic City School District</t>
  </si>
  <si>
    <t>Abraham Lincoln School Number 24</t>
  </si>
  <si>
    <t>Drago</t>
  </si>
  <si>
    <t>jdrago@passaicschools.org</t>
  </si>
  <si>
    <t>36 Parker Ave</t>
  </si>
  <si>
    <t>Mario Drago School No. 3</t>
  </si>
  <si>
    <t>Kattak</t>
  </si>
  <si>
    <t>dkattak@passaicschools.org</t>
  </si>
  <si>
    <t>155 Van Houten Ave.</t>
  </si>
  <si>
    <t>Maisonet</t>
  </si>
  <si>
    <t>amaisonet@passaicschools.org</t>
  </si>
  <si>
    <t>85 Hamilton Ave.</t>
  </si>
  <si>
    <t>Jose</t>
  </si>
  <si>
    <t>Sallie D. Gamble School No. 7</t>
  </si>
  <si>
    <t>Gulamhussein</t>
  </si>
  <si>
    <t>Janoowalla</t>
  </si>
  <si>
    <t>gjanoowalla@passaicschools.org</t>
  </si>
  <si>
    <t>155 Summer St.</t>
  </si>
  <si>
    <t>Vincent Capuana School No. 15</t>
  </si>
  <si>
    <t>scruz@passaicschools.org</t>
  </si>
  <si>
    <t>374 Broadway</t>
  </si>
  <si>
    <t>WAYNE</t>
  </si>
  <si>
    <t>Paterson Public School District</t>
  </si>
  <si>
    <t>Anna Iandoli Early Learning Center</t>
  </si>
  <si>
    <t>Stanley</t>
  </si>
  <si>
    <t>Sumter</t>
  </si>
  <si>
    <t>ssumter@paterson.k12.nj.us</t>
  </si>
  <si>
    <t>660 14th Avenue</t>
  </si>
  <si>
    <t>Charles J. Riley/ School 9</t>
  </si>
  <si>
    <t>Domenico</t>
  </si>
  <si>
    <t>Carriero</t>
  </si>
  <si>
    <t>dcarriero@paterson.k12.nj.us</t>
  </si>
  <si>
    <t>6 TIMOTHY STREET</t>
  </si>
  <si>
    <t>Dale Avenue</t>
  </si>
  <si>
    <t>Sanducci</t>
  </si>
  <si>
    <t>rsanducci@paterson.k12.nj.us</t>
  </si>
  <si>
    <t>21 Dale Ave</t>
  </si>
  <si>
    <t>Dr. Hani Awadallah School</t>
  </si>
  <si>
    <t>Adorno</t>
  </si>
  <si>
    <t>gadorno@paterson.k12.nj.us</t>
  </si>
  <si>
    <t>515 MARSHALL STREET</t>
  </si>
  <si>
    <t>Jalyn</t>
  </si>
  <si>
    <t>Lyde</t>
  </si>
  <si>
    <t>jalynlyde@paterson.k12.nj.us</t>
  </si>
  <si>
    <t>851 E  28TH STREET</t>
  </si>
  <si>
    <t>Dorothy</t>
  </si>
  <si>
    <t>Edward W. Kilpatrick</t>
  </si>
  <si>
    <t>Correa</t>
  </si>
  <si>
    <t>jcorrea@paterson.k12.nj.us</t>
  </si>
  <si>
    <t>295-315 ELLISON STREET</t>
  </si>
  <si>
    <t>Miguel</t>
  </si>
  <si>
    <t>1 EAST 32ND STREET</t>
  </si>
  <si>
    <t>School 15</t>
  </si>
  <si>
    <t>Ramona</t>
  </si>
  <si>
    <t>ragarcia@paterson.k12.nj.us</t>
  </si>
  <si>
    <t>98 OAK STREET</t>
  </si>
  <si>
    <t>School 16</t>
  </si>
  <si>
    <t>Tavarez-Correa</t>
  </si>
  <si>
    <t>ncorreatavarez@paterson.k12.nj.us</t>
  </si>
  <si>
    <t>11 22ND AVENUE</t>
  </si>
  <si>
    <t>School 21</t>
  </si>
  <si>
    <t>Edgard</t>
  </si>
  <si>
    <t>enieves@paterson.k12.nj.us</t>
  </si>
  <si>
    <t>322 10TH AVENUE</t>
  </si>
  <si>
    <t>School 24</t>
  </si>
  <si>
    <t>Florita</t>
  </si>
  <si>
    <t>Cotto</t>
  </si>
  <si>
    <t>fcotto@paterson.k12.nj.us</t>
  </si>
  <si>
    <t>50 NINETEENTH AVENUE</t>
  </si>
  <si>
    <t>School 25</t>
  </si>
  <si>
    <t>ayoung@paterson.k12.nj.us</t>
  </si>
  <si>
    <t>287 TRENTON AVENUE</t>
  </si>
  <si>
    <t>School 26</t>
  </si>
  <si>
    <t>Hoff</t>
  </si>
  <si>
    <t>dhoff@paterson.k12.nj.us</t>
  </si>
  <si>
    <t>School 27</t>
  </si>
  <si>
    <t>kwhite@paterson.k12.nj.us</t>
  </si>
  <si>
    <t>250 RICHMOND AVE</t>
  </si>
  <si>
    <t>School 28</t>
  </si>
  <si>
    <t>Castro</t>
  </si>
  <si>
    <t>ncastro@paterson.k12.nj.us</t>
  </si>
  <si>
    <t>200 PRESIDENTIAL BOULEVARD</t>
  </si>
  <si>
    <t>Prospect Park Public School District</t>
  </si>
  <si>
    <t>Prospect Park School No. 1</t>
  </si>
  <si>
    <t>Parent</t>
  </si>
  <si>
    <t>mparent@prospectparknj.com</t>
  </si>
  <si>
    <t>94 BROWN AVENUE</t>
  </si>
  <si>
    <t>PROSPECT PARK</t>
  </si>
  <si>
    <t>Ringwood School District</t>
  </si>
  <si>
    <t>RINGWOOD</t>
  </si>
  <si>
    <t>Robert Erskine School</t>
  </si>
  <si>
    <t>Festa</t>
  </si>
  <si>
    <t>festag@njrps.org</t>
  </si>
  <si>
    <t>88 ERSKINE ROAD</t>
  </si>
  <si>
    <t>Totowa Public School District</t>
  </si>
  <si>
    <t>Compel</t>
  </si>
  <si>
    <t>joseph.compel@totowa.k12.nj.us</t>
  </si>
  <si>
    <t>294 TOTOWA ROAD</t>
  </si>
  <si>
    <t>TOTOWA</t>
  </si>
  <si>
    <t>Wanaque School District</t>
  </si>
  <si>
    <t>Wanaque Elementary School</t>
  </si>
  <si>
    <t>Alloy</t>
  </si>
  <si>
    <t>jalloy@wanaqueps.org</t>
  </si>
  <si>
    <t>FIRST STREET</t>
  </si>
  <si>
    <t>Wayne Township Public School District</t>
  </si>
  <si>
    <t>KOLLEEN</t>
  </si>
  <si>
    <t>MYERS</t>
  </si>
  <si>
    <t>KMYERS@WAYNESCHOOLS.COM</t>
  </si>
  <si>
    <t>1310 RATZER ROAD</t>
  </si>
  <si>
    <t>Preakness Early Childhood Center</t>
  </si>
  <si>
    <t>jhammond@wayneschools.com</t>
  </si>
  <si>
    <t>1006 Hamburg Turnpike</t>
  </si>
  <si>
    <t>West Milford Township Public School District</t>
  </si>
  <si>
    <t>WEST MILFORD</t>
  </si>
  <si>
    <t>Maple Road Elementary School</t>
  </si>
  <si>
    <t>Bill.Kane@wmtps.org</t>
  </si>
  <si>
    <t>36 MAPLE ROAD</t>
  </si>
  <si>
    <t>Woodland Park School District</t>
  </si>
  <si>
    <t>Woodland Park</t>
  </si>
  <si>
    <t>Charles Olbon School</t>
  </si>
  <si>
    <t>Scholtz</t>
  </si>
  <si>
    <t>sscholtz@wpschools.org</t>
  </si>
  <si>
    <t>50 LINCOLN LANE</t>
  </si>
  <si>
    <t>School One</t>
  </si>
  <si>
    <t>Mireya</t>
  </si>
  <si>
    <t>mgutierrez@wpschools.org</t>
  </si>
  <si>
    <t>665 McBride Avenue</t>
  </si>
  <si>
    <t>Alloway Twp School District</t>
  </si>
  <si>
    <t>Alloway Township School</t>
  </si>
  <si>
    <t>McAllister</t>
  </si>
  <si>
    <t>mcallisterc@allowayschool.org</t>
  </si>
  <si>
    <t>43 CEDAR ST</t>
  </si>
  <si>
    <t>ALLOWAY</t>
  </si>
  <si>
    <t>Mannington Township School District</t>
  </si>
  <si>
    <t>Mannington Township Elementary School</t>
  </si>
  <si>
    <t>kwilliams@manningtonschool.org</t>
  </si>
  <si>
    <t>495 ROUTE 45</t>
  </si>
  <si>
    <t>Oldmans Township School District</t>
  </si>
  <si>
    <t>Oldmans Township School</t>
  </si>
  <si>
    <t>Ogbin</t>
  </si>
  <si>
    <t>jogbin@oldmans.org</t>
  </si>
  <si>
    <t>10 FREED ROAD</t>
  </si>
  <si>
    <t>PEDRICKTOWN</t>
  </si>
  <si>
    <t>Penns Grove-Carneys Point Regional School District</t>
  </si>
  <si>
    <t>CARNEYS POINT</t>
  </si>
  <si>
    <t>Lafayette - Pershing</t>
  </si>
  <si>
    <t>Dougherty</t>
  </si>
  <si>
    <t>sdougherty@pgcpschools.org</t>
  </si>
  <si>
    <t>237 SHELL ROAD</t>
  </si>
  <si>
    <t>Pennsville School District</t>
  </si>
  <si>
    <t>PENNSVILLE</t>
  </si>
  <si>
    <t>Penn Beach Elementary</t>
  </si>
  <si>
    <t>Zoppina</t>
  </si>
  <si>
    <t>mzoppina@pv-eagles.org</t>
  </si>
  <si>
    <t>96 KANSAS RD</t>
  </si>
  <si>
    <t>Valley Park Elementary School</t>
  </si>
  <si>
    <t>Bobbie-Ann</t>
  </si>
  <si>
    <t>Fordham</t>
  </si>
  <si>
    <t>bfordham@pv-eagles.org</t>
  </si>
  <si>
    <t>63 Mahoney Road</t>
  </si>
  <si>
    <t>Pittsgrove Township School District</t>
  </si>
  <si>
    <t>PITTSGROVE</t>
  </si>
  <si>
    <t>Norma Elementary School</t>
  </si>
  <si>
    <t>Ocasio-Jimenez</t>
  </si>
  <si>
    <t>pocasio-jimenez@pittsgrove.net</t>
  </si>
  <si>
    <t>873 GERSHAL AVENUE</t>
  </si>
  <si>
    <t>Quinton Township School District</t>
  </si>
  <si>
    <t>Quinton Township School</t>
  </si>
  <si>
    <t>Gwen</t>
  </si>
  <si>
    <t>gherman@quintonschool.info</t>
  </si>
  <si>
    <t>8 ROBINSON STREET</t>
  </si>
  <si>
    <t>QUINTON</t>
  </si>
  <si>
    <t>Salem City School District</t>
  </si>
  <si>
    <t>John Fenwick Academy</t>
  </si>
  <si>
    <t>Syeda</t>
  </si>
  <si>
    <t>carter@salemnj.org</t>
  </si>
  <si>
    <t>183 SMITH STREET</t>
  </si>
  <si>
    <t>Salem County Special Services School District</t>
  </si>
  <si>
    <t>Cumberland Campus</t>
  </si>
  <si>
    <t>bcummings@scsssd.net</t>
  </si>
  <si>
    <t>13 Ramah Road</t>
  </si>
  <si>
    <t>The Lower Alloways Creek School District</t>
  </si>
  <si>
    <t>Lower Alloways Creek Elementary School</t>
  </si>
  <si>
    <t>Lucchesi</t>
  </si>
  <si>
    <t>mlucchesi@lacschool.org</t>
  </si>
  <si>
    <t>967 MAIN ST CANTON</t>
  </si>
  <si>
    <t>UPPER PITTSGROVE TWP School District</t>
  </si>
  <si>
    <t>Upper Pittsgrove School</t>
  </si>
  <si>
    <t>kwilliams@upsmailbox.net</t>
  </si>
  <si>
    <t>235 PINE TAVERN ROAD</t>
  </si>
  <si>
    <t>MONROEVILLE</t>
  </si>
  <si>
    <t>Woodstown-Pilesgrove Regional School District</t>
  </si>
  <si>
    <t>William Roper Early Childhood Learning Center</t>
  </si>
  <si>
    <t>Hildebrand</t>
  </si>
  <si>
    <t>hildebrand.j@woodstown.org</t>
  </si>
  <si>
    <t>211 East Lake Road</t>
  </si>
  <si>
    <t>Pilesgrove</t>
  </si>
  <si>
    <t>Bedminster Township Public School District</t>
  </si>
  <si>
    <t>Bedminster Township Public School</t>
  </si>
  <si>
    <t>Corby</t>
  </si>
  <si>
    <t>Swan</t>
  </si>
  <si>
    <t>cswan@bedminsterschool.org</t>
  </si>
  <si>
    <t>234 Somerville Road</t>
  </si>
  <si>
    <t>Bedminster</t>
  </si>
  <si>
    <t>Bernards Township School District</t>
  </si>
  <si>
    <t>Basking Ridge</t>
  </si>
  <si>
    <t>Mount Prospect Elementary School</t>
  </si>
  <si>
    <t>Hozeny</t>
  </si>
  <si>
    <t>jhozeny@bernardsboe.com</t>
  </si>
  <si>
    <t>111 Hansom Road</t>
  </si>
  <si>
    <t>Bound Brook School District</t>
  </si>
  <si>
    <t>Bound Brook</t>
  </si>
  <si>
    <t>LaMonte-Annex Elementary School</t>
  </si>
  <si>
    <t>Hipolita</t>
  </si>
  <si>
    <t>Hernandez-Sicignano</t>
  </si>
  <si>
    <t>hsicignano@bbrook.k12.nj.us</t>
  </si>
  <si>
    <t>330 West Second Street</t>
  </si>
  <si>
    <t>Kinney</t>
  </si>
  <si>
    <t>Stanton</t>
  </si>
  <si>
    <t>Bridgewater-Raritan Regional School District</t>
  </si>
  <si>
    <t>Adamsville Primary School</t>
  </si>
  <si>
    <t>Singagliese</t>
  </si>
  <si>
    <t>jsingagliese@brrsd.org</t>
  </si>
  <si>
    <t>400 Union Avenue</t>
  </si>
  <si>
    <t>Bridgewater</t>
  </si>
  <si>
    <t>Milltown Primary School</t>
  </si>
  <si>
    <t>Lembo</t>
  </si>
  <si>
    <t>mlembo@brrsd.org</t>
  </si>
  <si>
    <t>611 Milltown Road</t>
  </si>
  <si>
    <t>Franklin Township Public School District</t>
  </si>
  <si>
    <t>Claremont Elementary School</t>
  </si>
  <si>
    <t>miguelrivera@franklinboe.org</t>
  </si>
  <si>
    <t>175 Claremont Road</t>
  </si>
  <si>
    <t>Franklin Park</t>
  </si>
  <si>
    <t>Conerly Road School</t>
  </si>
  <si>
    <t>Heras</t>
  </si>
  <si>
    <t>dheras@franklinboe.org</t>
  </si>
  <si>
    <t>35 Conerly Road</t>
  </si>
  <si>
    <t>Elizabeth Avenue School</t>
  </si>
  <si>
    <t>gromero@franklinboe.org</t>
  </si>
  <si>
    <t>363 Elizabeth Avenue</t>
  </si>
  <si>
    <t>Franklin Park School</t>
  </si>
  <si>
    <t>Stein</t>
  </si>
  <si>
    <t>jstein@franklinboe.org</t>
  </si>
  <si>
    <t>30 Eden Street</t>
  </si>
  <si>
    <t>MacAfee Road School</t>
  </si>
  <si>
    <t>kadams@franklinboe.org</t>
  </si>
  <si>
    <t>53 Macafee Road</t>
  </si>
  <si>
    <t>Pine Grove Manor School</t>
  </si>
  <si>
    <t>Genesi</t>
  </si>
  <si>
    <t>Miles</t>
  </si>
  <si>
    <t>gmiles@franklinboe.org</t>
  </si>
  <si>
    <t>130 Highland Avenue</t>
  </si>
  <si>
    <t>Green Brook Township Public School District</t>
  </si>
  <si>
    <t>Green Brook</t>
  </si>
  <si>
    <t>Irene E. Feldkirchner Elementary School</t>
  </si>
  <si>
    <t>Crista</t>
  </si>
  <si>
    <t>Fenton</t>
  </si>
  <si>
    <t>cfenton@gbtps.org</t>
  </si>
  <si>
    <t>105 Andrew Street</t>
  </si>
  <si>
    <t>Hillsborough Township Public School District</t>
  </si>
  <si>
    <t>Hillsborough</t>
  </si>
  <si>
    <t>Triangle Elementary School</t>
  </si>
  <si>
    <t>Aliperti</t>
  </si>
  <si>
    <t>aaliperti@htps.us</t>
  </si>
  <si>
    <t>156 South  Triangle Road</t>
  </si>
  <si>
    <t>Woods Road Elementary School</t>
  </si>
  <si>
    <t>Thomas (TR)</t>
  </si>
  <si>
    <t>Rathjen</t>
  </si>
  <si>
    <t>trathjen@htps.us</t>
  </si>
  <si>
    <t>120 South Woods Road</t>
  </si>
  <si>
    <t>Manville School District</t>
  </si>
  <si>
    <t>Manville</t>
  </si>
  <si>
    <t>Rissmiller</t>
  </si>
  <si>
    <t>arissmiller@manvillesd.org</t>
  </si>
  <si>
    <t>410 Brooks Boulevard</t>
  </si>
  <si>
    <t>Weston Elementary School</t>
  </si>
  <si>
    <t>Eason</t>
  </si>
  <si>
    <t>deason@manvillesd.org</t>
  </si>
  <si>
    <t>600 Newark Avenue</t>
  </si>
  <si>
    <t>Montgomery Township School District</t>
  </si>
  <si>
    <t>Skillman</t>
  </si>
  <si>
    <t>Orchard Hill Elementary School</t>
  </si>
  <si>
    <t>Van Hise</t>
  </si>
  <si>
    <t>dvanhise@mtsd.us</t>
  </si>
  <si>
    <t>244 Orchard Road</t>
  </si>
  <si>
    <t>North Plainfield School District</t>
  </si>
  <si>
    <t>East End School</t>
  </si>
  <si>
    <t>john_lucas@nplainfield.org</t>
  </si>
  <si>
    <t>170 Oneida Avenue</t>
  </si>
  <si>
    <t>North Plainfield</t>
  </si>
  <si>
    <t>West End School</t>
  </si>
  <si>
    <t>desiree_robin@nplainfield.org</t>
  </si>
  <si>
    <t>447 Greenbrook Road</t>
  </si>
  <si>
    <t>Somerset Hills Regional School District</t>
  </si>
  <si>
    <t>Bernardsville</t>
  </si>
  <si>
    <t>141 Seney Drive</t>
  </si>
  <si>
    <t>Marion T. Bedwell Elementary School</t>
  </si>
  <si>
    <t>jallen@shsd.org</t>
  </si>
  <si>
    <t>Somerville Public School District</t>
  </si>
  <si>
    <t>Van Derveer Elementary School</t>
  </si>
  <si>
    <t>Frevert</t>
  </si>
  <si>
    <t>lfrevert@somervilleschools.org</t>
  </si>
  <si>
    <t>51 Union Avenue</t>
  </si>
  <si>
    <t>Warren Township School District</t>
  </si>
  <si>
    <t>Tugya</t>
  </si>
  <si>
    <t>atugya@warrentboe.org</t>
  </si>
  <si>
    <t>109 Mount Bethel Road</t>
  </si>
  <si>
    <t>Mt. Horeb School</t>
  </si>
  <si>
    <t>scook@warrentboe.org</t>
  </si>
  <si>
    <t>80 Mount Horeb Road</t>
  </si>
  <si>
    <t>Watchung Borough School District</t>
  </si>
  <si>
    <t>Bayberry School</t>
  </si>
  <si>
    <t>Fichner</t>
  </si>
  <si>
    <t>dfichner@watchungschools.us</t>
  </si>
  <si>
    <t>113 Bayberry Lane</t>
  </si>
  <si>
    <t>Watchung</t>
  </si>
  <si>
    <t>Karin</t>
  </si>
  <si>
    <t>Kidd</t>
  </si>
  <si>
    <t>kkidd@watchungschools.us</t>
  </si>
  <si>
    <t>50 Valley View Road</t>
  </si>
  <si>
    <t>Andover Regional School District</t>
  </si>
  <si>
    <t>Florence M. Burd</t>
  </si>
  <si>
    <t>Dilkes</t>
  </si>
  <si>
    <t>ndilkes@andoverregional.org</t>
  </si>
  <si>
    <t>219 NEWTON SPARTA ROAD</t>
  </si>
  <si>
    <t>NEWTON</t>
  </si>
  <si>
    <t>Byram Township School District</t>
  </si>
  <si>
    <t>STANHOPE</t>
  </si>
  <si>
    <t>Byram Lakes Elementary School</t>
  </si>
  <si>
    <t>Morris.Peter@byramschools.org</t>
  </si>
  <si>
    <t>11 MANSFIELD DRIVE</t>
  </si>
  <si>
    <t>Franklin Borough School District</t>
  </si>
  <si>
    <t>Franklin Borough School</t>
  </si>
  <si>
    <t>Vallacchi</t>
  </si>
  <si>
    <t>lvallacchi@fboe.org</t>
  </si>
  <si>
    <t>50 WASHINGTON AVENUE</t>
  </si>
  <si>
    <t>FRANKLIN</t>
  </si>
  <si>
    <t>Fredon Township School District</t>
  </si>
  <si>
    <t>Fredon Township School</t>
  </si>
  <si>
    <t>Kitchin</t>
  </si>
  <si>
    <t>bkitchin@fredon.org</t>
  </si>
  <si>
    <t>459 ROUTE 94</t>
  </si>
  <si>
    <t>Green Township School District</t>
  </si>
  <si>
    <t>Green Hills School</t>
  </si>
  <si>
    <t>Jon Paul</t>
  </si>
  <si>
    <t>Bollette</t>
  </si>
  <si>
    <t>jbollette@greenhills.org</t>
  </si>
  <si>
    <t>69 MACKERLY ROAD</t>
  </si>
  <si>
    <t>GREENDELL</t>
  </si>
  <si>
    <t>Hamburg School District</t>
  </si>
  <si>
    <t>Hamburg School</t>
  </si>
  <si>
    <t>Sigman</t>
  </si>
  <si>
    <t>ksigman@hamburgschool.com</t>
  </si>
  <si>
    <t>30 LINWOOD AVENUE</t>
  </si>
  <si>
    <t>HAMBURG</t>
  </si>
  <si>
    <t>Hampton Township School District</t>
  </si>
  <si>
    <t>Marian E. McKeown Elementary School</t>
  </si>
  <si>
    <t>Goodwin</t>
  </si>
  <si>
    <t>goodwin@mckeown.org</t>
  </si>
  <si>
    <t>ONE SCHOOL ROAD</t>
  </si>
  <si>
    <t>Hardyston Township School District</t>
  </si>
  <si>
    <t>Hardyston Township Elementary School</t>
  </si>
  <si>
    <t>Cimaglia</t>
  </si>
  <si>
    <t>jcimaglia@htps.org</t>
  </si>
  <si>
    <t>50 ROUTE 23</t>
  </si>
  <si>
    <t>Hopatcong Borough School District</t>
  </si>
  <si>
    <t>Durban Avenue Elementary School</t>
  </si>
  <si>
    <t>McFadden</t>
  </si>
  <si>
    <t>kmcfadden@hopatcongschools.org</t>
  </si>
  <si>
    <t>616 Durban Avenue</t>
  </si>
  <si>
    <t>Hopatcong</t>
  </si>
  <si>
    <t>Lafayette Township School District</t>
  </si>
  <si>
    <t>Lafayette Township School</t>
  </si>
  <si>
    <t>Gall</t>
  </si>
  <si>
    <t>mgall@ltes.org</t>
  </si>
  <si>
    <t>178 BEAVER RUN ROAD</t>
  </si>
  <si>
    <t>LAFAYETTE</t>
  </si>
  <si>
    <t>Montague Township School District</t>
  </si>
  <si>
    <t>Montague Township School</t>
  </si>
  <si>
    <t>Andriac</t>
  </si>
  <si>
    <t>jandriac@montagueschool.org</t>
  </si>
  <si>
    <t>475 ROUTE 206</t>
  </si>
  <si>
    <t>MONTAGUE</t>
  </si>
  <si>
    <t>Newton Public School District</t>
  </si>
  <si>
    <t>Merriam Avenue School</t>
  </si>
  <si>
    <t>kstanton@newtonnj.org</t>
  </si>
  <si>
    <t>81 MERRIAM AVENUE</t>
  </si>
  <si>
    <t>Ogdensburg Borough School District</t>
  </si>
  <si>
    <t>Ogdensburg Borough School</t>
  </si>
  <si>
    <t>Astor</t>
  </si>
  <si>
    <t>dastor@obboe.org</t>
  </si>
  <si>
    <t>100 MAIN STREET</t>
  </si>
  <si>
    <t>OGDENSBURG</t>
  </si>
  <si>
    <t>Sandyston-Walpack Consolidated School District</t>
  </si>
  <si>
    <t>Sandyston Walpack Consolidated School</t>
  </si>
  <si>
    <t>bphillips@sandystonwalpack.org</t>
  </si>
  <si>
    <t>100 ROUTE 560</t>
  </si>
  <si>
    <t>LAYTON</t>
  </si>
  <si>
    <t>Sparta Township Public School District</t>
  </si>
  <si>
    <t>Helen Morgan School</t>
  </si>
  <si>
    <t>DOUGLAS</t>
  </si>
  <si>
    <t>LAYMAN</t>
  </si>
  <si>
    <t>DOUGLAS.LAYMAN@SPARTA.ORG</t>
  </si>
  <si>
    <t>100 STANHOPE ROAD</t>
  </si>
  <si>
    <t>Stanhope School District</t>
  </si>
  <si>
    <t>Valley Road School</t>
  </si>
  <si>
    <t>Finklea-DiCataldo</t>
  </si>
  <si>
    <t>afinklea-dicataldo@stanhopeschools.org</t>
  </si>
  <si>
    <t>24 VALLEY ROAD</t>
  </si>
  <si>
    <t>Stillwater Township School District</t>
  </si>
  <si>
    <t>Stillwater Township School</t>
  </si>
  <si>
    <t>Cramer</t>
  </si>
  <si>
    <t>marissa.cramer@stillwaterschool.net</t>
  </si>
  <si>
    <t>904 STILLWATER ROAD</t>
  </si>
  <si>
    <t>STILLWATER</t>
  </si>
  <si>
    <t>Sussex-Wantage Regional School District</t>
  </si>
  <si>
    <t>Clifton E. Lawrence</t>
  </si>
  <si>
    <t>Kaleigh</t>
  </si>
  <si>
    <t>Themelakis</t>
  </si>
  <si>
    <t>kthemelakis@swregional.org</t>
  </si>
  <si>
    <t>31 RYAN ROAD</t>
  </si>
  <si>
    <t>WANTAGE</t>
  </si>
  <si>
    <t>Wantage Elementary School</t>
  </si>
  <si>
    <t>cgregory@swregional.org</t>
  </si>
  <si>
    <t>815 ROUTE 23</t>
  </si>
  <si>
    <t>Vernon Township School District</t>
  </si>
  <si>
    <t>VERNON</t>
  </si>
  <si>
    <t>Walnut Ridge School</t>
  </si>
  <si>
    <t>MacDougall</t>
  </si>
  <si>
    <t>smacdougall@vtsd.com</t>
  </si>
  <si>
    <t>625 ROUTE 517</t>
  </si>
  <si>
    <t>Clark Township Public School District</t>
  </si>
  <si>
    <t>CLARK</t>
  </si>
  <si>
    <t>Clark Preschool Annex</t>
  </si>
  <si>
    <t>Shirley</t>
  </si>
  <si>
    <t>Bergin</t>
  </si>
  <si>
    <t>sbergin@clarkschools.org</t>
  </si>
  <si>
    <t>430 Westfield Ave</t>
  </si>
  <si>
    <t>Beltramba</t>
  </si>
  <si>
    <t>jbeltramba@clarkschools.org</t>
  </si>
  <si>
    <t>150 VALLEY ROAD</t>
  </si>
  <si>
    <t>Elizabeth Public Schools</t>
  </si>
  <si>
    <t>Chessie Dentley Roberts Academy School No. 30</t>
  </si>
  <si>
    <t>Arlene Frances</t>
  </si>
  <si>
    <t>CampbeAr@epsnj.org</t>
  </si>
  <si>
    <t>730 PENNSYLVANIA AVE</t>
  </si>
  <si>
    <t>Donald Stewart Early Childhood Center No 51</t>
  </si>
  <si>
    <t>rodrigjoc@epsnj.org</t>
  </si>
  <si>
    <t>544 PENNSYLVANIA AVENUE</t>
  </si>
  <si>
    <t>Dr. Albert Einstein Academy School No. 29</t>
  </si>
  <si>
    <t>Labrador</t>
  </si>
  <si>
    <t>labradorma@epsnj.org</t>
  </si>
  <si>
    <t>919 NORTH BROAD STREET</t>
  </si>
  <si>
    <t>Dr. Antonia Pantoja School No. 27</t>
  </si>
  <si>
    <t>Alvero</t>
  </si>
  <si>
    <t>alverove@epsnj.org</t>
  </si>
  <si>
    <t>505 -517 MORRIS AVENUE</t>
  </si>
  <si>
    <t>Dr. Martin Luther King Jr. Early Childhood Center No 52</t>
  </si>
  <si>
    <t>Gladys</t>
  </si>
  <si>
    <t>Castellanos</t>
  </si>
  <si>
    <t>CastelGl@epsnj.org</t>
  </si>
  <si>
    <t>130 TRUMBULL STREET</t>
  </si>
  <si>
    <t>Dr. Orlando Edreira Academy School No. 26</t>
  </si>
  <si>
    <t>Teitelbaum</t>
  </si>
  <si>
    <t>teitelho@epsnj.org</t>
  </si>
  <si>
    <t>1014 South Elmora Avenue</t>
  </si>
  <si>
    <t>Elmora School No. 12</t>
  </si>
  <si>
    <t>Kulick</t>
  </si>
  <si>
    <t>kulickme@epsnj.org</t>
  </si>
  <si>
    <t>638 MAGIE AVE</t>
  </si>
  <si>
    <t>Frances C. Smith Early Childhood Center No 50</t>
  </si>
  <si>
    <t>Trebino</t>
  </si>
  <si>
    <t>trebinoli@epsnj.org</t>
  </si>
  <si>
    <t>1000 SOUTH ELMORA AVE</t>
  </si>
  <si>
    <t>George Washington Academy School No. 1</t>
  </si>
  <si>
    <t>blacksh@epsnj.org</t>
  </si>
  <si>
    <t>250 BROADWAY</t>
  </si>
  <si>
    <t>Joseph Battin School No 4</t>
  </si>
  <si>
    <t>Jerika</t>
  </si>
  <si>
    <t>Fernandez</t>
  </si>
  <si>
    <t>fernandezjer@epsnj.org</t>
  </si>
  <si>
    <t>501 Union Avenue</t>
  </si>
  <si>
    <t>Juan Pablo Duarte - Jose Julian Marti School No 28</t>
  </si>
  <si>
    <t>Rodriguez-Salcedo</t>
  </si>
  <si>
    <t>rodrigev@epsnj.org</t>
  </si>
  <si>
    <t>25 FIRST STREET</t>
  </si>
  <si>
    <t>Mabel G. Holmes School No. 5</t>
  </si>
  <si>
    <t>Colomb</t>
  </si>
  <si>
    <t>Petit</t>
  </si>
  <si>
    <t>petitco@epsnj.org</t>
  </si>
  <si>
    <t>650 Bayway Avenue</t>
  </si>
  <si>
    <t>Madison Monroe School No. 16</t>
  </si>
  <si>
    <t>Gaeta</t>
  </si>
  <si>
    <t>gaetama@epsnj.org</t>
  </si>
  <si>
    <t>1091 NORTH AVE</t>
  </si>
  <si>
    <t>Terence C. Reilly School No 7</t>
  </si>
  <si>
    <t>Reguinho</t>
  </si>
  <si>
    <t>reguinhoje@epsnj.org</t>
  </si>
  <si>
    <t>436 First Avenue</t>
  </si>
  <si>
    <t>Mondesir</t>
  </si>
  <si>
    <t>mondesirja@epsnj.org</t>
  </si>
  <si>
    <t>1071 JULIA ST</t>
  </si>
  <si>
    <t>Victor Mravlag School No. 21</t>
  </si>
  <si>
    <t>Wansaw</t>
  </si>
  <si>
    <t>wansawmi@epsnj.org</t>
  </si>
  <si>
    <t>132 Shelley Avenue</t>
  </si>
  <si>
    <t>William F. Halloran School No.22</t>
  </si>
  <si>
    <t>Lauerin</t>
  </si>
  <si>
    <t>Gareis</t>
  </si>
  <si>
    <t>gareisla@epsnj.org</t>
  </si>
  <si>
    <t>612 Pulaski Street</t>
  </si>
  <si>
    <t>Winfield Scott School No. 2</t>
  </si>
  <si>
    <t>Shante</t>
  </si>
  <si>
    <t>Rorie</t>
  </si>
  <si>
    <t>roriesh@epsnj.org</t>
  </si>
  <si>
    <t>125 MADISON AVE</t>
  </si>
  <si>
    <t>Woodrow Wilson School No. 19</t>
  </si>
  <si>
    <t>Casserly</t>
  </si>
  <si>
    <t>casserch@epsnj.org</t>
  </si>
  <si>
    <t>529 EDGAR RD</t>
  </si>
  <si>
    <t>Garwood Boro</t>
  </si>
  <si>
    <t>ckinney@garwoodschools.org</t>
  </si>
  <si>
    <t>500 East Street</t>
  </si>
  <si>
    <t>Garwood</t>
  </si>
  <si>
    <t>Hillside Public School District</t>
  </si>
  <si>
    <t>Abram P. Morris Early Childhood Center</t>
  </si>
  <si>
    <t>Palmer-Gilliard</t>
  </si>
  <si>
    <t>vpalmer-gilliard@hillsidek12.org</t>
  </si>
  <si>
    <t>143 COE AVE</t>
  </si>
  <si>
    <t>HILLSIDE</t>
  </si>
  <si>
    <t>Linden Public School District</t>
  </si>
  <si>
    <t>Linden</t>
  </si>
  <si>
    <t>Number 1</t>
  </si>
  <si>
    <t>Norma</t>
  </si>
  <si>
    <t>ndiaz@lindenps.org</t>
  </si>
  <si>
    <t>728 North Wood Ave.</t>
  </si>
  <si>
    <t>Number 10</t>
  </si>
  <si>
    <t>Happel</t>
  </si>
  <si>
    <t>whappel@lindenps.org</t>
  </si>
  <si>
    <t>2801 Highland Avenue</t>
  </si>
  <si>
    <t>Number 2</t>
  </si>
  <si>
    <t>Fingerlin</t>
  </si>
  <si>
    <t>pfingerlin@lindenps.org</t>
  </si>
  <si>
    <t>1700 SOUTH WOOD AVENUE</t>
  </si>
  <si>
    <t>LINDEN</t>
  </si>
  <si>
    <t>Number 4</t>
  </si>
  <si>
    <t>Olivero</t>
  </si>
  <si>
    <t>solivero@lindenps.org</t>
  </si>
  <si>
    <t>1602 Dill Avenue</t>
  </si>
  <si>
    <t>Number 5</t>
  </si>
  <si>
    <t>Crawley</t>
  </si>
  <si>
    <t>rcrawley@lindenps.org</t>
  </si>
  <si>
    <t>1014 Bower Street</t>
  </si>
  <si>
    <t>Number 6</t>
  </si>
  <si>
    <t>mwalters@lindenps.org</t>
  </si>
  <si>
    <t>19 East Morris Ave.</t>
  </si>
  <si>
    <t>Number 8</t>
  </si>
  <si>
    <t>mrodriguez@lindenps.org</t>
  </si>
  <si>
    <t>500 West Blancke St.</t>
  </si>
  <si>
    <t>Number 9</t>
  </si>
  <si>
    <t>Principato</t>
  </si>
  <si>
    <t>aprincipato@lindenps.org</t>
  </si>
  <si>
    <t>1401 Deerfield Terrace</t>
  </si>
  <si>
    <t>Morris-Union Jointure Commission School District</t>
  </si>
  <si>
    <t>Developmental Learning Center New Providence</t>
  </si>
  <si>
    <t>cbird@mujc.org</t>
  </si>
  <si>
    <t>330 CENTRAL AVENUE</t>
  </si>
  <si>
    <t>NEW PROVIDENCE</t>
  </si>
  <si>
    <t>New Providence School District</t>
  </si>
  <si>
    <t>Allen W. Roberts School</t>
  </si>
  <si>
    <t>Richter</t>
  </si>
  <si>
    <t>jrichter@npsdnj.org</t>
  </si>
  <si>
    <t>80 JONES DR</t>
  </si>
  <si>
    <t>Plainfield Public School District</t>
  </si>
  <si>
    <t>Dion</t>
  </si>
  <si>
    <t>Caryn</t>
  </si>
  <si>
    <t>Washington Community School</t>
  </si>
  <si>
    <t>Dejesus</t>
  </si>
  <si>
    <t>ndejesus@plainfield.k12.nj.us</t>
  </si>
  <si>
    <t>427 DARROW AVE</t>
  </si>
  <si>
    <t>Rahway Public School District</t>
  </si>
  <si>
    <t>Holness</t>
  </si>
  <si>
    <t>pholness@rahway.net</t>
  </si>
  <si>
    <t>1809 ST GEORGES AVE</t>
  </si>
  <si>
    <t>RAHWAY</t>
  </si>
  <si>
    <t>Giambrone</t>
  </si>
  <si>
    <t>agiambrone@rahway.net</t>
  </si>
  <si>
    <t>486 E MILTON AVE</t>
  </si>
  <si>
    <t>Madison Elementary School</t>
  </si>
  <si>
    <t>dpatterson@rahway.net</t>
  </si>
  <si>
    <t>944 Madison Avenue</t>
  </si>
  <si>
    <t>Rahway 7th &amp; 8th Grade Academy</t>
  </si>
  <si>
    <t>icolon@rahway.net</t>
  </si>
  <si>
    <t>1157 KLINE PLACE</t>
  </si>
  <si>
    <t>Septor</t>
  </si>
  <si>
    <t>lseptor@rahway.net</t>
  </si>
  <si>
    <t>811 ST GEORGE AVE</t>
  </si>
  <si>
    <t>Roselle Park Public School District</t>
  </si>
  <si>
    <t>Riggi</t>
  </si>
  <si>
    <t>lriggi@rpsd.org</t>
  </si>
  <si>
    <t>339 West Webster Avenue</t>
  </si>
  <si>
    <t>ROSELLE PARK</t>
  </si>
  <si>
    <t>Robert Gordon Elementary School</t>
  </si>
  <si>
    <t>cdougherty@rpsd.org</t>
  </si>
  <si>
    <t>59 WEST GRANT AVENUE</t>
  </si>
  <si>
    <t>Sherman Elementary School</t>
  </si>
  <si>
    <t>Flecca</t>
  </si>
  <si>
    <t>jflecca@rpsd.org</t>
  </si>
  <si>
    <t>375 E GRANT AVE</t>
  </si>
  <si>
    <t>Roselle Public School District</t>
  </si>
  <si>
    <t>ROSELLE</t>
  </si>
  <si>
    <t>Dr. Charles C. Polk School</t>
  </si>
  <si>
    <t>mallison@roselleschools.org</t>
  </si>
  <si>
    <t>1100 WARREN ST</t>
  </si>
  <si>
    <t>Lih</t>
  </si>
  <si>
    <t>vlih@roselleschools.org</t>
  </si>
  <si>
    <t>501 WASHINGTON AVENUE</t>
  </si>
  <si>
    <t>Springfield Public School District</t>
  </si>
  <si>
    <t>Edward V. Walton Primary School</t>
  </si>
  <si>
    <t>jfiretto@springfieldschools.commplias@springfieldschools.com</t>
  </si>
  <si>
    <t>601 Mountain Ave.</t>
  </si>
  <si>
    <t>Springfield</t>
  </si>
  <si>
    <t>Kielty</t>
  </si>
  <si>
    <t>tkielty@springfieldschools.com</t>
  </si>
  <si>
    <t>James Caldwell Elementary School</t>
  </si>
  <si>
    <t>Rennie</t>
  </si>
  <si>
    <t>drennie@springfieldschools.com</t>
  </si>
  <si>
    <t>36 Caldwell Place</t>
  </si>
  <si>
    <t>Thelma L. Sandmeier Elementary School</t>
  </si>
  <si>
    <t>666 South Springfield Ave.</t>
  </si>
  <si>
    <t>Summit Public School District</t>
  </si>
  <si>
    <t>SUMMIT</t>
  </si>
  <si>
    <t>Loor</t>
  </si>
  <si>
    <t>eloor@summit.k12.nj.us</t>
  </si>
  <si>
    <t>136 BLACKBURN ROAD</t>
  </si>
  <si>
    <t>110 ASHWOOD AVENUE</t>
  </si>
  <si>
    <t>Primary Center at Jefferson</t>
  </si>
  <si>
    <t>Kozak</t>
  </si>
  <si>
    <t>ekozak@summit.k12.nj.us</t>
  </si>
  <si>
    <t>Primary Center at Wilson</t>
  </si>
  <si>
    <t>14 BEEKMAN TERRACE</t>
  </si>
  <si>
    <t>Banker</t>
  </si>
  <si>
    <t>lbanker@summit.k12.nj.us</t>
  </si>
  <si>
    <t>507 MORRIS AVE</t>
  </si>
  <si>
    <t>Township of Union School District</t>
  </si>
  <si>
    <t>Battle Hill Elementary</t>
  </si>
  <si>
    <t>Hoyt</t>
  </si>
  <si>
    <t>mark.hoyt@twpunionschools.org</t>
  </si>
  <si>
    <t>2600 KILLIAN PLACE</t>
  </si>
  <si>
    <t>Connecticut Farms Elementary</t>
  </si>
  <si>
    <t>Drayton</t>
  </si>
  <si>
    <t>sdrayton@twpunionschools.org</t>
  </si>
  <si>
    <t>875 STUYVESANT AVENUE</t>
  </si>
  <si>
    <t>Franklin Elementary</t>
  </si>
  <si>
    <t>Kira</t>
  </si>
  <si>
    <t>Baskerville-Williams</t>
  </si>
  <si>
    <t>kbwilliams@twpunionschools.org</t>
  </si>
  <si>
    <t>1500 LINDY TERRACE</t>
  </si>
  <si>
    <t>Hannah Caldwell Elementary</t>
  </si>
  <si>
    <t>dshaw@twpunionschools.org</t>
  </si>
  <si>
    <t>1120 COMMERCE AVENUE</t>
  </si>
  <si>
    <t>Livingston Elementary</t>
  </si>
  <si>
    <t>Lorenzo</t>
  </si>
  <si>
    <t>ytlorenzo@twpunionschools.org</t>
  </si>
  <si>
    <t>960 MIDLAND BLVD</t>
  </si>
  <si>
    <t>Washington Elementary</t>
  </si>
  <si>
    <t>kpiano@twpunionschools.org</t>
  </si>
  <si>
    <t>301 WASHINGTON AVENUE</t>
  </si>
  <si>
    <t>Union County Educational Services Commission</t>
  </si>
  <si>
    <t>Crossroads School</t>
  </si>
  <si>
    <t>mfernandez@ucesc.org</t>
  </si>
  <si>
    <t>45 CARDINAL DRIVE</t>
  </si>
  <si>
    <t>WESTFIELD</t>
  </si>
  <si>
    <t>Westfield</t>
  </si>
  <si>
    <t>Union</t>
  </si>
  <si>
    <t>Westfield Public School District</t>
  </si>
  <si>
    <t>Duncan</t>
  </si>
  <si>
    <t>pduncan@westfieldnjk12.org</t>
  </si>
  <si>
    <t>700 Prospect Street</t>
  </si>
  <si>
    <t>Lincoln Early Childhood Center</t>
  </si>
  <si>
    <t>tjacobson@westfieldnjk12.org</t>
  </si>
  <si>
    <t>728 Westfield Avenue</t>
  </si>
  <si>
    <t>mmccabe@westfieldnjk12.org</t>
  </si>
  <si>
    <t>500 First Street</t>
  </si>
  <si>
    <t>aperry@westfieldnjk12.org</t>
  </si>
  <si>
    <t>900 St. Marks Avenue</t>
  </si>
  <si>
    <t>Winfield Township</t>
  </si>
  <si>
    <t>LeBrun</t>
  </si>
  <si>
    <t>rlebrun@winfieldschool.org</t>
  </si>
  <si>
    <t>7 1/2 GULFSTREAM AVENUE</t>
  </si>
  <si>
    <t>WINFIELD</t>
  </si>
  <si>
    <t>Alpha Borough School District</t>
  </si>
  <si>
    <t>Alpha Borough School</t>
  </si>
  <si>
    <t>scohen@apsedu.org</t>
  </si>
  <si>
    <t>817 NORTH BOULEVARD</t>
  </si>
  <si>
    <t>ALPHA</t>
  </si>
  <si>
    <t>Belvidere School District</t>
  </si>
  <si>
    <t>Belvidere Elementary School</t>
  </si>
  <si>
    <t>Karabinus</t>
  </si>
  <si>
    <t>ckarabinus@belvideresd.org</t>
  </si>
  <si>
    <t>807 OXFORD STREET</t>
  </si>
  <si>
    <t>BELVIDERE</t>
  </si>
  <si>
    <t>Blairstown Elementary Township School District</t>
  </si>
  <si>
    <t>Blairstown Elementary School</t>
  </si>
  <si>
    <t>silvestri@blairstownelem.net</t>
  </si>
  <si>
    <t>1 SUNSET HILL ROAD</t>
  </si>
  <si>
    <t>Matt</t>
  </si>
  <si>
    <t>Eagleburger</t>
  </si>
  <si>
    <t>meagleburger@franklinschool.org</t>
  </si>
  <si>
    <t>52 ASBURY  BROADWAY ROAD</t>
  </si>
  <si>
    <t>WASHINGTON</t>
  </si>
  <si>
    <t>Hackettstown Public School District</t>
  </si>
  <si>
    <t>Hatchery Hill Elementary School</t>
  </si>
  <si>
    <t>Coscia</t>
  </si>
  <si>
    <t>ccoscia@hackettstown.org</t>
  </si>
  <si>
    <t>398 5th Avenue</t>
  </si>
  <si>
    <t>Hackettstown</t>
  </si>
  <si>
    <t>PHILLIPSBURG</t>
  </si>
  <si>
    <t>Mansfield Township Elementary School District</t>
  </si>
  <si>
    <t>Mansfield Township Elementary</t>
  </si>
  <si>
    <t>Noreen</t>
  </si>
  <si>
    <t>Matias</t>
  </si>
  <si>
    <t>matiasn@mansfieldtsd.org</t>
  </si>
  <si>
    <t>50 PORT MURRAY ROAD</t>
  </si>
  <si>
    <t>PORT MURRAY</t>
  </si>
  <si>
    <t>Oxford Township School District</t>
  </si>
  <si>
    <t>Oxford Central School</t>
  </si>
  <si>
    <t>Nittolo</t>
  </si>
  <si>
    <t>jnittolo@oxfordcentral.org</t>
  </si>
  <si>
    <t>17 Kent Street</t>
  </si>
  <si>
    <t>Oxford</t>
  </si>
  <si>
    <t>Phillipsburg School District</t>
  </si>
  <si>
    <t>Phillipsburg Early Childhood Learning Center</t>
  </si>
  <si>
    <t>Steckel</t>
  </si>
  <si>
    <t>steckel.natalie@pburgsd.net</t>
  </si>
  <si>
    <t>459 CENTER STREET</t>
  </si>
  <si>
    <t>Pohatcong Township School District</t>
  </si>
  <si>
    <t>Pohatcong Township School</t>
  </si>
  <si>
    <t>Kullman</t>
  </si>
  <si>
    <t>kkullman@pohatcong.org</t>
  </si>
  <si>
    <t>240 RTE  519</t>
  </si>
  <si>
    <t>Washington Borough School District</t>
  </si>
  <si>
    <t>Taylor Street Elementary School</t>
  </si>
  <si>
    <t>johnsont@washboro.org</t>
  </si>
  <si>
    <t>16  24 TAYLOR STREET</t>
  </si>
  <si>
    <t>Brass Castle School</t>
  </si>
  <si>
    <t>jgarcia@washtwpsd.org</t>
  </si>
  <si>
    <t>16 CASTLE STREET</t>
  </si>
  <si>
    <t>White Township Consolidated School District</t>
  </si>
  <si>
    <t>White Township Consolidated School</t>
  </si>
  <si>
    <t>thompson@whitetwpsd.org</t>
  </si>
  <si>
    <t>565 CR 519</t>
  </si>
  <si>
    <t>Address</t>
  </si>
  <si>
    <t>County</t>
  </si>
  <si>
    <t>Atlantic</t>
  </si>
  <si>
    <t>Bergen</t>
  </si>
  <si>
    <t>Burlington</t>
  </si>
  <si>
    <t>Gloucester</t>
  </si>
  <si>
    <t>Cape May</t>
  </si>
  <si>
    <t>Charters</t>
  </si>
  <si>
    <t>Cumberland</t>
  </si>
  <si>
    <t>Essex</t>
  </si>
  <si>
    <t>Hunterdon</t>
  </si>
  <si>
    <t>Mercer</t>
  </si>
  <si>
    <t>Monmouth</t>
  </si>
  <si>
    <t>Ocean</t>
  </si>
  <si>
    <t>Salem</t>
  </si>
  <si>
    <t>Sussex</t>
  </si>
  <si>
    <t>Prek-K FullDay</t>
  </si>
  <si>
    <t>% Pre-K FullDay</t>
  </si>
  <si>
    <t>Kindergarten Halfday</t>
  </si>
  <si>
    <t>Kindergarten Full Day</t>
  </si>
  <si>
    <t>Toussaint LOuverture-Marquis de Lafayette School No. 6</t>
  </si>
  <si>
    <t>Camdens Promise Charter School</t>
  </si>
  <si>
    <t>Coopers Poynt Family School</t>
  </si>
  <si>
    <t>OCallaghan</t>
  </si>
  <si>
    <t>JaShanna</t>
  </si>
  <si>
    <t>Nate</t>
  </si>
  <si>
    <t>OConnor</t>
  </si>
  <si>
    <t>Kirbys Mill Elementary School</t>
  </si>
  <si>
    <t>DAlessandro</t>
  </si>
  <si>
    <t>100 Arneys Mt. Road</t>
  </si>
  <si>
    <t>Philips Academy Charter School</t>
  </si>
  <si>
    <t>Phillips Academy Charter School</t>
  </si>
  <si>
    <t>Piscataway Township Schools Childrens Corner</t>
  </si>
  <si>
    <t>Veterans Memorial Elementary School</t>
  </si>
  <si>
    <t>Dr. Martin Luther King Jr. Educational Complex</t>
  </si>
  <si>
    <t>Edward T. Bowser Sr. School of Excellence</t>
  </si>
  <si>
    <t>Ernest J. Finizio Jr. - Aldene School</t>
  </si>
  <si>
    <t>Martin Luther King Jr. School</t>
  </si>
  <si>
    <t>Martin Luther King Jr. School No. 6</t>
  </si>
  <si>
    <t>Ollie Culbreth Jr. School</t>
  </si>
  <si>
    <t>Patricia M. Noonan School PS #26</t>
  </si>
  <si>
    <t>Whitney M. Young Jr.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</si>
</sst>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16" fillId="0" borderId="10" xfId="0" applyFont="1" applyBorder="1" applyAlignment="1">
      <alignment vertical="top" wrapText="1" shrinkToFit="1"/>
    </xf>
    <xf numFmtId="0" fontId="16" fillId="0" borderId="0" xfId="0" applyFont="1" applyAlignment="1">
      <alignment vertical="top" wrapText="1" shrinkToFit="1"/>
    </xf>
    <xf numFmtId="16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94A86-5B38-4B04-B96E-4F7A4978B42F}">
  <dimension ref="A1:O878"/>
  <sheetViews>
    <sheetView tabSelected="1" workbookViewId="0">
      <selection activeCell="H13" sqref="H13"/>
    </sheetView>
  </sheetViews>
  <sheetFormatPr defaultRowHeight="14.6" x14ac:dyDescent="0.4"/>
  <cols>
    <col min="1" max="1" width="51.84375" customWidth="1"/>
    <col min="2" max="2" width="42.69140625" customWidth="1"/>
    <col min="3" max="3" width="29.69140625" customWidth="1"/>
    <col min="4" max="5" width="22.84375" customWidth="1"/>
    <col min="6" max="6" width="11.23046875" customWidth="1"/>
    <col min="7" max="11" width="15.3046875" customWidth="1"/>
    <col min="14" max="14" width="24" customWidth="1"/>
    <col min="15" max="15" width="42.07421875" customWidth="1"/>
  </cols>
  <sheetData>
    <row r="1" spans="1:15" s="3" customFormat="1" ht="43.75" x14ac:dyDescent="0.4">
      <c r="A1" s="2" t="s">
        <v>1</v>
      </c>
      <c r="B1" s="2" t="s">
        <v>0</v>
      </c>
      <c r="C1" s="2" t="s">
        <v>4672</v>
      </c>
      <c r="D1" s="2" t="s">
        <v>6</v>
      </c>
      <c r="E1" s="2" t="s">
        <v>4673</v>
      </c>
      <c r="F1" s="2" t="s">
        <v>7</v>
      </c>
      <c r="G1" s="2" t="s">
        <v>8</v>
      </c>
      <c r="H1" s="2" t="s">
        <v>4688</v>
      </c>
      <c r="I1" s="2" t="s">
        <v>4689</v>
      </c>
      <c r="J1" s="2" t="s">
        <v>4690</v>
      </c>
      <c r="K1" s="2" t="s">
        <v>4691</v>
      </c>
      <c r="L1" s="2" t="s">
        <v>2</v>
      </c>
      <c r="M1" s="2" t="s">
        <v>3</v>
      </c>
      <c r="N1" s="2" t="s">
        <v>4</v>
      </c>
      <c r="O1" s="2" t="s">
        <v>5</v>
      </c>
    </row>
    <row r="2" spans="1:15" x14ac:dyDescent="0.4">
      <c r="A2" s="1" t="s">
        <v>2555</v>
      </c>
      <c r="B2" s="1" t="s">
        <v>2553</v>
      </c>
      <c r="C2" s="1" t="s">
        <v>2559</v>
      </c>
      <c r="D2" s="1" t="s">
        <v>2554</v>
      </c>
      <c r="E2" s="1" t="s">
        <v>2239</v>
      </c>
      <c r="F2" s="1" t="s">
        <v>14</v>
      </c>
      <c r="G2" s="4" t="str">
        <f>"07087"</f>
        <v>07087</v>
      </c>
      <c r="H2" s="1">
        <v>190</v>
      </c>
      <c r="I2" s="1">
        <v>63.3</v>
      </c>
      <c r="J2" s="1">
        <v>0</v>
      </c>
      <c r="K2" s="1">
        <v>110</v>
      </c>
      <c r="L2" s="1" t="s">
        <v>2556</v>
      </c>
      <c r="M2" s="1" t="s">
        <v>2557</v>
      </c>
      <c r="N2" s="1" t="s">
        <v>12</v>
      </c>
      <c r="O2" s="1" t="s">
        <v>2558</v>
      </c>
    </row>
    <row r="3" spans="1:15" x14ac:dyDescent="0.4">
      <c r="A3" s="1" t="s">
        <v>4692</v>
      </c>
      <c r="B3" s="1" t="s">
        <v>4361</v>
      </c>
      <c r="C3" s="1" t="s">
        <v>4421</v>
      </c>
      <c r="D3" s="1" t="s">
        <v>2423</v>
      </c>
      <c r="E3" s="1" t="s">
        <v>4594</v>
      </c>
      <c r="F3" s="1" t="s">
        <v>14</v>
      </c>
      <c r="G3" s="4" t="str">
        <f>"07201-1554"</f>
        <v>07201-1554</v>
      </c>
      <c r="H3" s="1">
        <v>66</v>
      </c>
      <c r="I3" s="1">
        <v>6.6</v>
      </c>
      <c r="J3" s="1">
        <v>0</v>
      </c>
      <c r="K3" s="1">
        <v>104</v>
      </c>
      <c r="L3" s="1" t="s">
        <v>34</v>
      </c>
      <c r="M3" s="1" t="s">
        <v>4419</v>
      </c>
      <c r="N3" s="1" t="s">
        <v>12</v>
      </c>
      <c r="O3" s="1" t="s">
        <v>4420</v>
      </c>
    </row>
    <row r="4" spans="1:15" x14ac:dyDescent="0.4">
      <c r="A4" s="1" t="s">
        <v>2979</v>
      </c>
      <c r="B4" s="1" t="s">
        <v>2978</v>
      </c>
      <c r="C4" s="1" t="s">
        <v>2981</v>
      </c>
      <c r="D4" s="1" t="s">
        <v>1619</v>
      </c>
      <c r="E4" s="1" t="s">
        <v>2962</v>
      </c>
      <c r="F4" s="1" t="s">
        <v>14</v>
      </c>
      <c r="G4" s="4" t="str">
        <f>"08901-2930"</f>
        <v>08901-2930</v>
      </c>
      <c r="H4" s="1">
        <v>126</v>
      </c>
      <c r="I4" s="1">
        <v>19.2</v>
      </c>
      <c r="J4" s="1">
        <v>0</v>
      </c>
      <c r="K4" s="1">
        <v>92</v>
      </c>
      <c r="L4" s="1" t="s">
        <v>967</v>
      </c>
      <c r="M4" s="1" t="s">
        <v>283</v>
      </c>
      <c r="N4" s="1" t="s">
        <v>12</v>
      </c>
      <c r="O4" s="1" t="s">
        <v>2980</v>
      </c>
    </row>
    <row r="5" spans="1:15" x14ac:dyDescent="0.4">
      <c r="A5" s="1" t="s">
        <v>1953</v>
      </c>
      <c r="B5" s="1" t="s">
        <v>1952</v>
      </c>
      <c r="C5" s="1" t="s">
        <v>1957</v>
      </c>
      <c r="D5" s="1" t="s">
        <v>1610</v>
      </c>
      <c r="E5" s="1" t="s">
        <v>4681</v>
      </c>
      <c r="F5" s="1" t="s">
        <v>14</v>
      </c>
      <c r="G5" s="4" t="str">
        <f>"07107"</f>
        <v>07107</v>
      </c>
      <c r="H5" s="1">
        <v>15</v>
      </c>
      <c r="I5" s="1">
        <v>1.8</v>
      </c>
      <c r="J5" s="1">
        <v>0</v>
      </c>
      <c r="K5" s="1">
        <v>67</v>
      </c>
      <c r="L5" s="1" t="s">
        <v>1954</v>
      </c>
      <c r="M5" s="1" t="s">
        <v>1955</v>
      </c>
      <c r="N5" s="1" t="s">
        <v>12</v>
      </c>
      <c r="O5" s="1" t="s">
        <v>1956</v>
      </c>
    </row>
    <row r="6" spans="1:15" x14ac:dyDescent="0.4">
      <c r="A6" s="1" t="s">
        <v>489</v>
      </c>
      <c r="B6" s="1" t="s">
        <v>488</v>
      </c>
      <c r="C6" s="1" t="s">
        <v>493</v>
      </c>
      <c r="D6" s="1" t="s">
        <v>494</v>
      </c>
      <c r="E6" s="1" t="s">
        <v>4675</v>
      </c>
      <c r="F6" s="1" t="s">
        <v>14</v>
      </c>
      <c r="G6" s="4" t="str">
        <f>"07026"</f>
        <v>07026</v>
      </c>
      <c r="H6" s="1">
        <v>45</v>
      </c>
      <c r="I6" s="1">
        <v>11.7</v>
      </c>
      <c r="J6" s="1">
        <v>0</v>
      </c>
      <c r="K6" s="1">
        <v>74</v>
      </c>
      <c r="L6" s="1" t="s">
        <v>490</v>
      </c>
      <c r="M6" s="1" t="s">
        <v>491</v>
      </c>
      <c r="N6" s="1" t="s">
        <v>12</v>
      </c>
      <c r="O6" s="1" t="s">
        <v>492</v>
      </c>
    </row>
    <row r="7" spans="1:15" x14ac:dyDescent="0.4">
      <c r="A7" s="1" t="s">
        <v>3920</v>
      </c>
      <c r="B7" s="1" t="s">
        <v>3919</v>
      </c>
      <c r="C7" s="1" t="s">
        <v>3923</v>
      </c>
      <c r="D7" s="1" t="s">
        <v>1651</v>
      </c>
      <c r="E7" s="1" t="s">
        <v>1651</v>
      </c>
      <c r="F7" s="1" t="s">
        <v>14</v>
      </c>
      <c r="G7" s="4" t="str">
        <f>"07055"</f>
        <v>07055</v>
      </c>
      <c r="H7" s="1">
        <v>252</v>
      </c>
      <c r="I7" s="1">
        <v>100</v>
      </c>
      <c r="J7" s="1">
        <v>0</v>
      </c>
      <c r="K7" s="1">
        <v>0</v>
      </c>
      <c r="L7" s="1" t="s">
        <v>1964</v>
      </c>
      <c r="M7" s="1" t="s">
        <v>3921</v>
      </c>
      <c r="N7" s="1" t="s">
        <v>12</v>
      </c>
      <c r="O7" s="1" t="s">
        <v>3922</v>
      </c>
    </row>
    <row r="8" spans="1:15" x14ac:dyDescent="0.4">
      <c r="A8" s="1" t="s">
        <v>4445</v>
      </c>
      <c r="B8" s="1" t="s">
        <v>4444</v>
      </c>
      <c r="C8" s="1" t="s">
        <v>4448</v>
      </c>
      <c r="D8" s="1" t="s">
        <v>4449</v>
      </c>
      <c r="E8" s="1" t="s">
        <v>4594</v>
      </c>
      <c r="F8" s="1" t="s">
        <v>14</v>
      </c>
      <c r="G8" s="4" t="str">
        <f>"07205-2830"</f>
        <v>07205-2830</v>
      </c>
      <c r="H8" s="1">
        <v>255</v>
      </c>
      <c r="I8" s="1">
        <v>40.700000000000003</v>
      </c>
      <c r="J8" s="1">
        <v>0</v>
      </c>
      <c r="K8" s="1">
        <v>180</v>
      </c>
      <c r="L8" s="1" t="s">
        <v>566</v>
      </c>
      <c r="M8" s="1" t="s">
        <v>4446</v>
      </c>
      <c r="N8" s="1" t="s">
        <v>12</v>
      </c>
      <c r="O8" s="1" t="s">
        <v>4447</v>
      </c>
    </row>
    <row r="9" spans="1:15" x14ac:dyDescent="0.4">
      <c r="A9" s="1" t="s">
        <v>2924</v>
      </c>
      <c r="B9" s="1" t="s">
        <v>2923</v>
      </c>
      <c r="C9" s="1" t="s">
        <v>2926</v>
      </c>
      <c r="D9" s="1" t="s">
        <v>2927</v>
      </c>
      <c r="E9" s="1" t="s">
        <v>2962</v>
      </c>
      <c r="F9" s="1" t="s">
        <v>14</v>
      </c>
      <c r="G9" s="4" t="str">
        <f>"08831"</f>
        <v>08831</v>
      </c>
      <c r="H9" s="1">
        <v>6</v>
      </c>
      <c r="I9" s="1">
        <v>5.3</v>
      </c>
      <c r="J9" s="1">
        <v>0</v>
      </c>
      <c r="K9" s="1">
        <v>8</v>
      </c>
      <c r="L9" s="1" t="s">
        <v>1010</v>
      </c>
      <c r="M9" s="1" t="s">
        <v>2344</v>
      </c>
      <c r="N9" s="1" t="s">
        <v>12</v>
      </c>
      <c r="O9" s="1" t="s">
        <v>2925</v>
      </c>
    </row>
    <row r="10" spans="1:15" x14ac:dyDescent="0.4">
      <c r="A10" s="1" t="s">
        <v>3464</v>
      </c>
      <c r="B10" s="1" t="s">
        <v>3463</v>
      </c>
      <c r="C10" s="1" t="s">
        <v>3467</v>
      </c>
      <c r="D10" s="1" t="s">
        <v>3468</v>
      </c>
      <c r="E10" s="1" t="s">
        <v>1033</v>
      </c>
      <c r="F10" s="1" t="s">
        <v>14</v>
      </c>
      <c r="G10" s="4" t="str">
        <f>"07801-4906"</f>
        <v>07801-4906</v>
      </c>
      <c r="H10" s="1">
        <v>8</v>
      </c>
      <c r="I10" s="1">
        <v>1.6</v>
      </c>
      <c r="J10" s="1">
        <v>0</v>
      </c>
      <c r="K10" s="1">
        <v>83</v>
      </c>
      <c r="L10" s="1" t="s">
        <v>3465</v>
      </c>
      <c r="M10" s="1" t="s">
        <v>548</v>
      </c>
      <c r="N10" s="1" t="s">
        <v>12</v>
      </c>
      <c r="O10" s="1" t="s">
        <v>3466</v>
      </c>
    </row>
    <row r="11" spans="1:15" x14ac:dyDescent="0.4">
      <c r="A11" s="1" t="s">
        <v>4139</v>
      </c>
      <c r="B11" s="1" t="s">
        <v>4138</v>
      </c>
      <c r="C11" s="1" t="s">
        <v>4142</v>
      </c>
      <c r="D11" s="1" t="s">
        <v>4143</v>
      </c>
      <c r="E11" s="1" t="s">
        <v>1597</v>
      </c>
      <c r="F11" s="1" t="s">
        <v>14</v>
      </c>
      <c r="G11" s="4" t="str">
        <f>"08807"</f>
        <v>08807</v>
      </c>
      <c r="H11" s="1">
        <v>16</v>
      </c>
      <c r="I11" s="1">
        <v>3.5</v>
      </c>
      <c r="J11" s="1">
        <v>55</v>
      </c>
      <c r="K11" s="1">
        <v>5</v>
      </c>
      <c r="L11" s="1" t="s">
        <v>34</v>
      </c>
      <c r="M11" s="1" t="s">
        <v>4140</v>
      </c>
      <c r="N11" s="1" t="s">
        <v>12</v>
      </c>
      <c r="O11" s="1" t="s">
        <v>4141</v>
      </c>
    </row>
    <row r="12" spans="1:15" x14ac:dyDescent="0.4">
      <c r="A12" s="1" t="s">
        <v>3229</v>
      </c>
      <c r="B12" s="1" t="s">
        <v>3228</v>
      </c>
      <c r="C12" s="1" t="s">
        <v>3232</v>
      </c>
      <c r="D12" s="1" t="s">
        <v>3199</v>
      </c>
      <c r="E12" s="1" t="s">
        <v>4684</v>
      </c>
      <c r="F12" s="1" t="s">
        <v>14</v>
      </c>
      <c r="G12" s="4" t="str">
        <f>"07728"</f>
        <v>07728</v>
      </c>
      <c r="H12" s="1">
        <v>357</v>
      </c>
      <c r="I12" s="1">
        <v>100</v>
      </c>
      <c r="J12" s="1">
        <v>0</v>
      </c>
      <c r="K12" s="1">
        <v>0</v>
      </c>
      <c r="L12" s="1" t="s">
        <v>208</v>
      </c>
      <c r="M12" s="1" t="s">
        <v>3230</v>
      </c>
      <c r="N12" s="1" t="s">
        <v>12</v>
      </c>
      <c r="O12" s="1" t="s">
        <v>3231</v>
      </c>
    </row>
    <row r="13" spans="1:15" x14ac:dyDescent="0.4">
      <c r="A13" s="1" t="s">
        <v>1884</v>
      </c>
      <c r="B13" s="1" t="s">
        <v>1883</v>
      </c>
      <c r="C13" s="1" t="s">
        <v>1887</v>
      </c>
      <c r="D13" s="1" t="s">
        <v>1882</v>
      </c>
      <c r="E13" s="1" t="s">
        <v>4681</v>
      </c>
      <c r="F13" s="1" t="s">
        <v>14</v>
      </c>
      <c r="G13" s="4" t="str">
        <f>"07004"</f>
        <v>07004</v>
      </c>
      <c r="H13" s="1">
        <v>6</v>
      </c>
      <c r="I13" s="1">
        <v>1.9</v>
      </c>
      <c r="J13" s="1">
        <v>0</v>
      </c>
      <c r="K13" s="1">
        <v>96</v>
      </c>
      <c r="L13" s="1" t="s">
        <v>176</v>
      </c>
      <c r="M13" s="1" t="s">
        <v>1885</v>
      </c>
      <c r="N13" s="1" t="s">
        <v>12</v>
      </c>
      <c r="O13" s="1" t="s">
        <v>1886</v>
      </c>
    </row>
    <row r="14" spans="1:15" x14ac:dyDescent="0.4">
      <c r="A14" s="1" t="s">
        <v>2418</v>
      </c>
      <c r="B14" s="1" t="s">
        <v>2416</v>
      </c>
      <c r="C14" s="1" t="s">
        <v>2421</v>
      </c>
      <c r="D14" s="1" t="s">
        <v>1624</v>
      </c>
      <c r="E14" s="1" t="s">
        <v>2239</v>
      </c>
      <c r="F14" s="1" t="s">
        <v>14</v>
      </c>
      <c r="G14" s="4" t="str">
        <f>"07305-2412"</f>
        <v>07305-2412</v>
      </c>
      <c r="H14" s="1">
        <v>53</v>
      </c>
      <c r="I14" s="1">
        <v>8.3000000000000007</v>
      </c>
      <c r="J14" s="1">
        <v>0</v>
      </c>
      <c r="K14" s="1">
        <v>55</v>
      </c>
      <c r="L14" s="1" t="s">
        <v>588</v>
      </c>
      <c r="M14" s="1" t="s">
        <v>2419</v>
      </c>
      <c r="N14" s="1" t="s">
        <v>12</v>
      </c>
      <c r="O14" s="1" t="s">
        <v>2420</v>
      </c>
    </row>
    <row r="15" spans="1:15" x14ac:dyDescent="0.4">
      <c r="A15" s="1" t="s">
        <v>2758</v>
      </c>
      <c r="B15" s="1" t="s">
        <v>2756</v>
      </c>
      <c r="C15" s="1" t="s">
        <v>2761</v>
      </c>
      <c r="D15" s="1" t="s">
        <v>2757</v>
      </c>
      <c r="E15" s="1" t="s">
        <v>4683</v>
      </c>
      <c r="F15" s="1" t="s">
        <v>14</v>
      </c>
      <c r="G15" s="4" t="str">
        <f>"08690-2331"</f>
        <v>08690-2331</v>
      </c>
      <c r="H15" s="1">
        <v>5</v>
      </c>
      <c r="I15" s="1">
        <v>1.7</v>
      </c>
      <c r="J15" s="1">
        <v>0</v>
      </c>
      <c r="K15" s="1">
        <v>44</v>
      </c>
      <c r="L15" s="1" t="s">
        <v>77</v>
      </c>
      <c r="M15" s="1" t="s">
        <v>2759</v>
      </c>
      <c r="N15" s="1" t="s">
        <v>12</v>
      </c>
      <c r="O15" s="1" t="s">
        <v>2760</v>
      </c>
    </row>
    <row r="16" spans="1:15" x14ac:dyDescent="0.4">
      <c r="A16" s="1" t="s">
        <v>2597</v>
      </c>
      <c r="B16" s="1" t="s">
        <v>2596</v>
      </c>
      <c r="C16" s="1" t="s">
        <v>2600</v>
      </c>
      <c r="D16" s="1" t="s">
        <v>2601</v>
      </c>
      <c r="E16" s="1" t="s">
        <v>4682</v>
      </c>
      <c r="F16" s="1" t="s">
        <v>14</v>
      </c>
      <c r="G16" s="4" t="str">
        <f>"08867-9508"</f>
        <v>08867-9508</v>
      </c>
      <c r="H16" s="1">
        <v>27</v>
      </c>
      <c r="I16" s="1">
        <v>6.5</v>
      </c>
      <c r="J16" s="1">
        <v>0</v>
      </c>
      <c r="K16" s="1">
        <v>53</v>
      </c>
      <c r="L16" s="1" t="s">
        <v>10</v>
      </c>
      <c r="M16" s="1" t="s">
        <v>2598</v>
      </c>
      <c r="N16" s="1" t="s">
        <v>12</v>
      </c>
      <c r="O16" s="1" t="s">
        <v>2599</v>
      </c>
    </row>
    <row r="17" spans="1:15" x14ac:dyDescent="0.4">
      <c r="A17" s="1" t="s">
        <v>2422</v>
      </c>
      <c r="B17" s="1" t="s">
        <v>2416</v>
      </c>
      <c r="C17" s="1" t="s">
        <v>2426</v>
      </c>
      <c r="D17" s="1" t="s">
        <v>1624</v>
      </c>
      <c r="E17" s="1" t="s">
        <v>2239</v>
      </c>
      <c r="F17" s="1" t="s">
        <v>14</v>
      </c>
      <c r="G17" s="4" t="str">
        <f>"07307-3336"</f>
        <v>07307-3336</v>
      </c>
      <c r="H17" s="1">
        <v>45</v>
      </c>
      <c r="I17" s="1">
        <v>7.2</v>
      </c>
      <c r="J17" s="1">
        <v>0</v>
      </c>
      <c r="K17" s="1">
        <v>57</v>
      </c>
      <c r="L17" s="1" t="s">
        <v>2423</v>
      </c>
      <c r="M17" s="1" t="s">
        <v>2424</v>
      </c>
      <c r="N17" s="1" t="s">
        <v>12</v>
      </c>
      <c r="O17" s="1" t="s">
        <v>2425</v>
      </c>
    </row>
    <row r="18" spans="1:15" x14ac:dyDescent="0.4">
      <c r="A18" s="1" t="s">
        <v>1249</v>
      </c>
      <c r="B18" s="1" t="s">
        <v>1248</v>
      </c>
      <c r="C18" s="1" t="s">
        <v>1252</v>
      </c>
      <c r="D18" s="1" t="s">
        <v>1253</v>
      </c>
      <c r="E18" s="1" t="s">
        <v>1271</v>
      </c>
      <c r="F18" s="1" t="s">
        <v>14</v>
      </c>
      <c r="G18" s="4" t="str">
        <f>"08030"</f>
        <v>08030</v>
      </c>
      <c r="H18" s="1">
        <v>26</v>
      </c>
      <c r="I18" s="1">
        <v>9.4</v>
      </c>
      <c r="J18" s="1">
        <v>0</v>
      </c>
      <c r="K18" s="1">
        <v>22</v>
      </c>
      <c r="L18" s="1" t="s">
        <v>1250</v>
      </c>
      <c r="M18" s="1" t="s">
        <v>122</v>
      </c>
      <c r="N18" s="1" t="s">
        <v>134</v>
      </c>
      <c r="O18" s="1" t="s">
        <v>1251</v>
      </c>
    </row>
    <row r="19" spans="1:15" x14ac:dyDescent="0.4">
      <c r="A19" s="1" t="s">
        <v>1450</v>
      </c>
      <c r="B19" s="1" t="s">
        <v>1449</v>
      </c>
      <c r="C19" s="1" t="s">
        <v>1454</v>
      </c>
      <c r="D19" s="1" t="s">
        <v>1247</v>
      </c>
      <c r="E19" s="1" t="s">
        <v>1271</v>
      </c>
      <c r="F19" s="1" t="s">
        <v>14</v>
      </c>
      <c r="G19" s="4" t="str">
        <f>"08078"</f>
        <v>08078</v>
      </c>
      <c r="H19" s="1">
        <v>14</v>
      </c>
      <c r="I19" s="1">
        <v>7.5</v>
      </c>
      <c r="J19" s="1">
        <v>0</v>
      </c>
      <c r="K19" s="1">
        <v>40</v>
      </c>
      <c r="L19" s="1" t="s">
        <v>1451</v>
      </c>
      <c r="M19" s="1" t="s">
        <v>1452</v>
      </c>
      <c r="N19" s="1" t="s">
        <v>12</v>
      </c>
      <c r="O19" s="1" t="s">
        <v>1453</v>
      </c>
    </row>
    <row r="20" spans="1:15" x14ac:dyDescent="0.4">
      <c r="A20" s="1" t="s">
        <v>4489</v>
      </c>
      <c r="B20" s="1" t="s">
        <v>4488</v>
      </c>
      <c r="C20" s="1" t="s">
        <v>4492</v>
      </c>
      <c r="D20" s="1" t="s">
        <v>4487</v>
      </c>
      <c r="E20" s="1" t="s">
        <v>4594</v>
      </c>
      <c r="F20" s="1" t="s">
        <v>14</v>
      </c>
      <c r="G20" s="4" t="str">
        <f>"07974-1121"</f>
        <v>07974-1121</v>
      </c>
      <c r="H20" s="1">
        <v>8</v>
      </c>
      <c r="I20" s="1">
        <v>1.2</v>
      </c>
      <c r="J20" s="1">
        <v>0</v>
      </c>
      <c r="K20" s="1">
        <v>66</v>
      </c>
      <c r="L20" s="1" t="s">
        <v>368</v>
      </c>
      <c r="M20" s="1" t="s">
        <v>4490</v>
      </c>
      <c r="N20" s="1" t="s">
        <v>12</v>
      </c>
      <c r="O20" s="1" t="s">
        <v>4491</v>
      </c>
    </row>
    <row r="21" spans="1:15" x14ac:dyDescent="0.4">
      <c r="A21" s="1" t="s">
        <v>4047</v>
      </c>
      <c r="B21" s="1" t="s">
        <v>4046</v>
      </c>
      <c r="C21" s="1" t="s">
        <v>4050</v>
      </c>
      <c r="D21" s="1" t="s">
        <v>4051</v>
      </c>
      <c r="E21" s="1" t="s">
        <v>4686</v>
      </c>
      <c r="F21" s="1" t="s">
        <v>14</v>
      </c>
      <c r="G21" s="4" t="str">
        <f>"08001"</f>
        <v>08001</v>
      </c>
      <c r="H21" s="1">
        <v>22</v>
      </c>
      <c r="I21" s="1">
        <v>8.1999999999999993</v>
      </c>
      <c r="J21" s="1">
        <v>0</v>
      </c>
      <c r="K21" s="1">
        <v>10</v>
      </c>
      <c r="L21" s="1" t="s">
        <v>24</v>
      </c>
      <c r="M21" s="1" t="s">
        <v>4048</v>
      </c>
      <c r="N21" s="1" t="s">
        <v>134</v>
      </c>
      <c r="O21" s="1" t="s">
        <v>4049</v>
      </c>
    </row>
    <row r="22" spans="1:15" x14ac:dyDescent="0.4">
      <c r="A22" s="1" t="s">
        <v>4612</v>
      </c>
      <c r="B22" s="1" t="s">
        <v>4611</v>
      </c>
      <c r="C22" s="1" t="s">
        <v>4614</v>
      </c>
      <c r="D22" s="1" t="s">
        <v>4615</v>
      </c>
      <c r="E22" s="1" t="s">
        <v>76</v>
      </c>
      <c r="F22" s="1" t="s">
        <v>14</v>
      </c>
      <c r="G22" s="4" t="str">
        <f>"08865-4245"</f>
        <v>08865-4245</v>
      </c>
      <c r="H22" s="1">
        <v>2</v>
      </c>
      <c r="I22" s="1">
        <v>0.9</v>
      </c>
      <c r="J22" s="1">
        <v>0</v>
      </c>
      <c r="K22" s="1">
        <v>18</v>
      </c>
      <c r="L22" s="1" t="s">
        <v>2634</v>
      </c>
      <c r="M22" s="1" t="s">
        <v>1302</v>
      </c>
      <c r="N22" s="1" t="s">
        <v>134</v>
      </c>
      <c r="O22" s="1" t="s">
        <v>4613</v>
      </c>
    </row>
    <row r="23" spans="1:15" x14ac:dyDescent="0.4">
      <c r="A23" s="1" t="s">
        <v>1827</v>
      </c>
      <c r="B23" s="1" t="s">
        <v>1826</v>
      </c>
      <c r="C23" s="1" t="s">
        <v>1829</v>
      </c>
      <c r="D23" s="1" t="s">
        <v>1612</v>
      </c>
      <c r="E23" s="1" t="s">
        <v>4681</v>
      </c>
      <c r="F23" s="1" t="s">
        <v>14</v>
      </c>
      <c r="G23" s="4" t="str">
        <f>"07017"</f>
        <v>07017</v>
      </c>
      <c r="H23" s="1">
        <v>90</v>
      </c>
      <c r="I23" s="1">
        <v>62.5</v>
      </c>
      <c r="J23" s="1">
        <v>0</v>
      </c>
      <c r="K23" s="1">
        <v>54</v>
      </c>
      <c r="L23" s="1" t="s">
        <v>398</v>
      </c>
      <c r="M23" s="1" t="s">
        <v>768</v>
      </c>
      <c r="N23" s="1" t="s">
        <v>12</v>
      </c>
      <c r="O23" s="1" t="s">
        <v>1828</v>
      </c>
    </row>
    <row r="24" spans="1:15" x14ac:dyDescent="0.4">
      <c r="A24" s="1" t="s">
        <v>1349</v>
      </c>
      <c r="B24" s="1" t="s">
        <v>1348</v>
      </c>
      <c r="C24" s="1" t="s">
        <v>1352</v>
      </c>
      <c r="D24" s="1" t="s">
        <v>1353</v>
      </c>
      <c r="E24" s="1" t="s">
        <v>1271</v>
      </c>
      <c r="F24" s="1" t="s">
        <v>14</v>
      </c>
      <c r="G24" s="4" t="str">
        <f>"08081"</f>
        <v>08081</v>
      </c>
      <c r="H24" s="1">
        <v>140</v>
      </c>
      <c r="I24" s="1">
        <v>14.9</v>
      </c>
      <c r="J24" s="1">
        <v>0</v>
      </c>
      <c r="K24" s="1">
        <v>0</v>
      </c>
      <c r="L24" s="1" t="s">
        <v>146</v>
      </c>
      <c r="M24" s="1" t="s">
        <v>1350</v>
      </c>
      <c r="N24" s="1" t="s">
        <v>12</v>
      </c>
      <c r="O24" s="1" t="s">
        <v>1351</v>
      </c>
    </row>
    <row r="25" spans="1:15" x14ac:dyDescent="0.4">
      <c r="A25" s="1" t="s">
        <v>590</v>
      </c>
      <c r="B25" s="1" t="s">
        <v>589</v>
      </c>
      <c r="C25" s="1" t="s">
        <v>593</v>
      </c>
      <c r="D25" s="1" t="s">
        <v>594</v>
      </c>
      <c r="E25" s="1" t="s">
        <v>4675</v>
      </c>
      <c r="F25" s="1" t="s">
        <v>14</v>
      </c>
      <c r="G25" s="4" t="str">
        <f>"07605"</f>
        <v>07605</v>
      </c>
      <c r="H25" s="1">
        <v>52</v>
      </c>
      <c r="I25" s="1">
        <v>10.1</v>
      </c>
      <c r="J25" s="1">
        <v>0</v>
      </c>
      <c r="K25" s="1">
        <v>63</v>
      </c>
      <c r="L25" s="1" t="s">
        <v>457</v>
      </c>
      <c r="M25" s="1" t="s">
        <v>591</v>
      </c>
      <c r="N25" s="1" t="s">
        <v>12</v>
      </c>
      <c r="O25" s="1" t="s">
        <v>592</v>
      </c>
    </row>
    <row r="26" spans="1:15" x14ac:dyDescent="0.4">
      <c r="A26" s="1" t="s">
        <v>3942</v>
      </c>
      <c r="B26" s="1" t="s">
        <v>3941</v>
      </c>
      <c r="C26" s="1" t="s">
        <v>3946</v>
      </c>
      <c r="D26" s="1" t="s">
        <v>1146</v>
      </c>
      <c r="E26" s="1" t="s">
        <v>1651</v>
      </c>
      <c r="F26" s="1" t="s">
        <v>14</v>
      </c>
      <c r="G26" s="4" t="str">
        <f>"07504"</f>
        <v>07504</v>
      </c>
      <c r="H26" s="1">
        <v>99</v>
      </c>
      <c r="I26" s="1">
        <v>100</v>
      </c>
      <c r="J26" s="1">
        <v>0</v>
      </c>
      <c r="K26" s="1">
        <v>0</v>
      </c>
      <c r="L26" s="1" t="s">
        <v>3943</v>
      </c>
      <c r="M26" s="1" t="s">
        <v>3944</v>
      </c>
      <c r="N26" s="1" t="s">
        <v>12</v>
      </c>
      <c r="O26" s="1" t="s">
        <v>3945</v>
      </c>
    </row>
    <row r="27" spans="1:15" x14ac:dyDescent="0.4">
      <c r="A27" s="1" t="s">
        <v>3007</v>
      </c>
      <c r="B27" s="1" t="s">
        <v>3006</v>
      </c>
      <c r="C27" s="1" t="s">
        <v>3009</v>
      </c>
      <c r="D27" s="1" t="s">
        <v>3010</v>
      </c>
      <c r="E27" s="1" t="s">
        <v>2962</v>
      </c>
      <c r="F27" s="1" t="s">
        <v>14</v>
      </c>
      <c r="G27" s="4" t="str">
        <f>"08902"</f>
        <v>08902</v>
      </c>
      <c r="H27" s="1">
        <v>60</v>
      </c>
      <c r="I27" s="1">
        <v>10.199999999999999</v>
      </c>
      <c r="J27" s="1">
        <v>0</v>
      </c>
      <c r="K27" s="1">
        <v>93</v>
      </c>
      <c r="L27" s="1" t="s">
        <v>383</v>
      </c>
      <c r="M27" s="1" t="s">
        <v>469</v>
      </c>
      <c r="N27" s="1" t="s">
        <v>12</v>
      </c>
      <c r="O27" s="1" t="s">
        <v>3008</v>
      </c>
    </row>
    <row r="28" spans="1:15" x14ac:dyDescent="0.4">
      <c r="A28" s="1" t="s">
        <v>148</v>
      </c>
      <c r="B28" s="1" t="s">
        <v>147</v>
      </c>
      <c r="C28" s="1" t="s">
        <v>151</v>
      </c>
      <c r="D28" s="1" t="s">
        <v>152</v>
      </c>
      <c r="E28" s="1" t="s">
        <v>4674</v>
      </c>
      <c r="F28" s="1" t="s">
        <v>14</v>
      </c>
      <c r="G28" s="4" t="str">
        <f>"08205"</f>
        <v>08205</v>
      </c>
      <c r="H28" s="1">
        <v>35</v>
      </c>
      <c r="I28" s="1">
        <v>5.5</v>
      </c>
      <c r="J28" s="1">
        <v>0</v>
      </c>
      <c r="K28" s="1">
        <v>77</v>
      </c>
      <c r="L28" s="1" t="s">
        <v>10</v>
      </c>
      <c r="M28" s="1" t="s">
        <v>149</v>
      </c>
      <c r="N28" s="1" t="s">
        <v>12</v>
      </c>
      <c r="O28" s="1" t="s">
        <v>150</v>
      </c>
    </row>
    <row r="29" spans="1:15" x14ac:dyDescent="0.4">
      <c r="A29" s="1" t="s">
        <v>1058</v>
      </c>
      <c r="B29" s="1" t="s">
        <v>1057</v>
      </c>
      <c r="C29" s="1" t="s">
        <v>1061</v>
      </c>
      <c r="D29" s="1" t="s">
        <v>1062</v>
      </c>
      <c r="E29" s="1" t="s">
        <v>4676</v>
      </c>
      <c r="F29" s="1" t="s">
        <v>14</v>
      </c>
      <c r="G29" s="4" t="str">
        <f>"08048"</f>
        <v>08048</v>
      </c>
      <c r="H29" s="1">
        <v>136</v>
      </c>
      <c r="I29" s="1">
        <v>36.700000000000003</v>
      </c>
      <c r="J29" s="1">
        <v>0</v>
      </c>
      <c r="K29" s="1">
        <v>116</v>
      </c>
      <c r="L29" s="1" t="s">
        <v>15</v>
      </c>
      <c r="M29" s="1" t="s">
        <v>1059</v>
      </c>
      <c r="N29" s="1" t="s">
        <v>12</v>
      </c>
      <c r="O29" s="1" t="s">
        <v>1060</v>
      </c>
    </row>
    <row r="30" spans="1:15" x14ac:dyDescent="0.4">
      <c r="A30" s="1" t="s">
        <v>69</v>
      </c>
      <c r="B30" s="1" t="s">
        <v>68</v>
      </c>
      <c r="C30" s="1" t="s">
        <v>73</v>
      </c>
      <c r="D30" s="1" t="s">
        <v>74</v>
      </c>
      <c r="E30" s="1" t="s">
        <v>4674</v>
      </c>
      <c r="F30" s="1" t="s">
        <v>14</v>
      </c>
      <c r="G30" s="4" t="str">
        <f>"08330"</f>
        <v>08330</v>
      </c>
      <c r="H30" s="1">
        <v>15</v>
      </c>
      <c r="I30" s="1">
        <v>6.7</v>
      </c>
      <c r="J30" s="1">
        <v>0</v>
      </c>
      <c r="K30" s="1">
        <v>10</v>
      </c>
      <c r="L30" s="1" t="s">
        <v>70</v>
      </c>
      <c r="M30" s="1" t="s">
        <v>71</v>
      </c>
      <c r="N30" s="1" t="s">
        <v>12</v>
      </c>
      <c r="O30" s="1" t="s">
        <v>72</v>
      </c>
    </row>
    <row r="31" spans="1:15" x14ac:dyDescent="0.4">
      <c r="A31" s="1" t="s">
        <v>1215</v>
      </c>
      <c r="B31" s="1" t="s">
        <v>1213</v>
      </c>
      <c r="C31" s="1" t="s">
        <v>1219</v>
      </c>
      <c r="D31" s="1" t="s">
        <v>1220</v>
      </c>
      <c r="E31" s="1" t="s">
        <v>1271</v>
      </c>
      <c r="F31" s="1" t="s">
        <v>14</v>
      </c>
      <c r="G31" s="4" t="str">
        <f>"08106"</f>
        <v>08106</v>
      </c>
      <c r="H31" s="1">
        <v>56</v>
      </c>
      <c r="I31" s="1">
        <v>100</v>
      </c>
      <c r="J31" s="1">
        <v>0</v>
      </c>
      <c r="K31" s="1">
        <v>0</v>
      </c>
      <c r="L31" s="1" t="s">
        <v>1216</v>
      </c>
      <c r="M31" s="1" t="s">
        <v>1217</v>
      </c>
      <c r="N31" s="1" t="s">
        <v>12</v>
      </c>
      <c r="O31" s="1" t="s">
        <v>1218</v>
      </c>
    </row>
    <row r="32" spans="1:15" x14ac:dyDescent="0.4">
      <c r="A32" s="1" t="s">
        <v>1898</v>
      </c>
      <c r="B32" s="1" t="s">
        <v>1897</v>
      </c>
      <c r="C32" s="1" t="s">
        <v>1900</v>
      </c>
      <c r="D32" s="1" t="s">
        <v>1593</v>
      </c>
      <c r="E32" s="1" t="s">
        <v>4681</v>
      </c>
      <c r="F32" s="1" t="s">
        <v>14</v>
      </c>
      <c r="G32" s="4" t="str">
        <f>"07111"</f>
        <v>07111</v>
      </c>
      <c r="H32" s="1">
        <v>330</v>
      </c>
      <c r="I32" s="1">
        <v>99.7</v>
      </c>
      <c r="J32" s="1">
        <v>0</v>
      </c>
      <c r="K32" s="1">
        <v>1</v>
      </c>
      <c r="L32" s="1" t="s">
        <v>794</v>
      </c>
      <c r="M32" s="1" t="s">
        <v>1881</v>
      </c>
      <c r="N32" s="1" t="s">
        <v>12</v>
      </c>
      <c r="O32" s="1" t="s">
        <v>1899</v>
      </c>
    </row>
    <row r="33" spans="1:15" x14ac:dyDescent="0.4">
      <c r="A33" s="1" t="s">
        <v>2213</v>
      </c>
      <c r="B33" s="1" t="s">
        <v>2212</v>
      </c>
      <c r="C33" s="1" t="s">
        <v>2217</v>
      </c>
      <c r="D33" s="1" t="s">
        <v>2218</v>
      </c>
      <c r="E33" s="1" t="s">
        <v>4677</v>
      </c>
      <c r="F33" s="1" t="s">
        <v>14</v>
      </c>
      <c r="G33" s="4" t="str">
        <f>"08028-0338"</f>
        <v>08028-0338</v>
      </c>
      <c r="H33" s="1">
        <v>45</v>
      </c>
      <c r="I33" s="1">
        <v>12.9</v>
      </c>
      <c r="J33" s="1">
        <v>0</v>
      </c>
      <c r="K33" s="1">
        <v>38</v>
      </c>
      <c r="L33" s="1" t="s">
        <v>2214</v>
      </c>
      <c r="M33" s="1" t="s">
        <v>2215</v>
      </c>
      <c r="N33" s="1" t="s">
        <v>12</v>
      </c>
      <c r="O33" s="1" t="s">
        <v>2216</v>
      </c>
    </row>
    <row r="34" spans="1:15" x14ac:dyDescent="0.4">
      <c r="A34" s="1" t="s">
        <v>276</v>
      </c>
      <c r="B34" s="1" t="s">
        <v>275</v>
      </c>
      <c r="C34" s="1" t="s">
        <v>280</v>
      </c>
      <c r="D34" s="1" t="s">
        <v>281</v>
      </c>
      <c r="E34" s="1" t="s">
        <v>4675</v>
      </c>
      <c r="F34" s="1" t="s">
        <v>14</v>
      </c>
      <c r="G34" s="4" t="str">
        <f>"07652"</f>
        <v>07652</v>
      </c>
      <c r="H34" s="1">
        <v>4</v>
      </c>
      <c r="I34" s="1">
        <v>2</v>
      </c>
      <c r="J34" s="1">
        <v>0</v>
      </c>
      <c r="K34" s="1">
        <v>8</v>
      </c>
      <c r="L34" s="1" t="s">
        <v>277</v>
      </c>
      <c r="M34" s="1" t="s">
        <v>278</v>
      </c>
      <c r="N34" s="1" t="s">
        <v>12</v>
      </c>
      <c r="O34" s="1" t="s">
        <v>279</v>
      </c>
    </row>
    <row r="35" spans="1:15" x14ac:dyDescent="0.4">
      <c r="A35" s="1" t="s">
        <v>1506</v>
      </c>
      <c r="B35" s="1" t="s">
        <v>1505</v>
      </c>
      <c r="C35" s="1" t="s">
        <v>1509</v>
      </c>
      <c r="D35" s="1" t="s">
        <v>1510</v>
      </c>
      <c r="E35" s="1" t="s">
        <v>4678</v>
      </c>
      <c r="F35" s="1" t="s">
        <v>14</v>
      </c>
      <c r="G35" s="4" t="str">
        <f>"08202-1776"</f>
        <v>08202-1776</v>
      </c>
      <c r="H35" s="1">
        <v>28</v>
      </c>
      <c r="I35" s="1">
        <v>28.9</v>
      </c>
      <c r="J35" s="1">
        <v>0</v>
      </c>
      <c r="K35" s="1">
        <v>0</v>
      </c>
      <c r="L35" s="1" t="s">
        <v>16</v>
      </c>
      <c r="M35" s="1" t="s">
        <v>1507</v>
      </c>
      <c r="N35" s="1" t="s">
        <v>105</v>
      </c>
      <c r="O35" s="1" t="s">
        <v>1508</v>
      </c>
    </row>
    <row r="36" spans="1:15" x14ac:dyDescent="0.4">
      <c r="A36" s="1" t="s">
        <v>1960</v>
      </c>
      <c r="B36" s="1" t="s">
        <v>1952</v>
      </c>
      <c r="C36" s="1" t="s">
        <v>1963</v>
      </c>
      <c r="D36" s="1" t="s">
        <v>1610</v>
      </c>
      <c r="E36" s="1" t="s">
        <v>4681</v>
      </c>
      <c r="F36" s="1" t="s">
        <v>14</v>
      </c>
      <c r="G36" s="4" t="str">
        <f>"07108-2801"</f>
        <v>07108-2801</v>
      </c>
      <c r="H36" s="1">
        <v>85</v>
      </c>
      <c r="I36" s="1">
        <v>17.5</v>
      </c>
      <c r="J36" s="1">
        <v>0</v>
      </c>
      <c r="K36" s="1">
        <v>37</v>
      </c>
      <c r="L36" s="1" t="s">
        <v>1961</v>
      </c>
      <c r="M36" s="1" t="s">
        <v>27</v>
      </c>
      <c r="N36" s="1" t="s">
        <v>12</v>
      </c>
      <c r="O36" s="1" t="s">
        <v>1962</v>
      </c>
    </row>
    <row r="37" spans="1:15" x14ac:dyDescent="0.4">
      <c r="A37" s="1" t="s">
        <v>983</v>
      </c>
      <c r="B37" s="1" t="s">
        <v>982</v>
      </c>
      <c r="C37" s="1" t="s">
        <v>987</v>
      </c>
      <c r="D37" s="1" t="s">
        <v>949</v>
      </c>
      <c r="E37" s="1" t="s">
        <v>4676</v>
      </c>
      <c r="F37" s="1" t="s">
        <v>14</v>
      </c>
      <c r="G37" s="4" t="str">
        <f>"08016"</f>
        <v>08016</v>
      </c>
      <c r="H37" s="1">
        <v>190</v>
      </c>
      <c r="I37" s="1">
        <v>27.9</v>
      </c>
      <c r="J37" s="1">
        <v>0</v>
      </c>
      <c r="K37" s="1">
        <v>247</v>
      </c>
      <c r="L37" s="1" t="s">
        <v>984</v>
      </c>
      <c r="M37" s="1" t="s">
        <v>985</v>
      </c>
      <c r="N37" s="1" t="s">
        <v>12</v>
      </c>
      <c r="O37" s="1" t="s">
        <v>986</v>
      </c>
    </row>
    <row r="38" spans="1:15" x14ac:dyDescent="0.4">
      <c r="A38" s="1" t="s">
        <v>1431</v>
      </c>
      <c r="B38" s="1" t="s">
        <v>1430</v>
      </c>
      <c r="C38" s="1" t="s">
        <v>1434</v>
      </c>
      <c r="D38" s="1" t="s">
        <v>1435</v>
      </c>
      <c r="E38" s="1" t="s">
        <v>1271</v>
      </c>
      <c r="F38" s="1" t="s">
        <v>14</v>
      </c>
      <c r="G38" s="4" t="str">
        <f>"08110"</f>
        <v>08110</v>
      </c>
      <c r="H38" s="1">
        <v>103</v>
      </c>
      <c r="I38" s="1">
        <v>74.599999999999994</v>
      </c>
      <c r="J38" s="1">
        <v>0</v>
      </c>
      <c r="K38" s="1">
        <v>0</v>
      </c>
      <c r="L38" s="1" t="s">
        <v>360</v>
      </c>
      <c r="M38" s="1" t="s">
        <v>1432</v>
      </c>
      <c r="N38" s="1" t="s">
        <v>12</v>
      </c>
      <c r="O38" s="1" t="s">
        <v>1433</v>
      </c>
    </row>
    <row r="39" spans="1:15" x14ac:dyDescent="0.4">
      <c r="A39" s="1" t="s">
        <v>2229</v>
      </c>
      <c r="B39" s="1" t="s">
        <v>2228</v>
      </c>
      <c r="C39" s="1" t="s">
        <v>2232</v>
      </c>
      <c r="D39" s="1" t="s">
        <v>2233</v>
      </c>
      <c r="E39" s="1" t="s">
        <v>4677</v>
      </c>
      <c r="F39" s="1" t="s">
        <v>14</v>
      </c>
      <c r="G39" s="4" t="str">
        <f>"08080"</f>
        <v>08080</v>
      </c>
      <c r="H39" s="1">
        <v>15</v>
      </c>
      <c r="I39" s="1">
        <v>3.1</v>
      </c>
      <c r="J39" s="1">
        <v>0</v>
      </c>
      <c r="K39" s="1">
        <v>12</v>
      </c>
      <c r="L39" s="1" t="s">
        <v>1025</v>
      </c>
      <c r="M39" s="1" t="s">
        <v>2230</v>
      </c>
      <c r="N39" s="1" t="s">
        <v>12</v>
      </c>
      <c r="O39" s="1" t="s">
        <v>2231</v>
      </c>
    </row>
    <row r="40" spans="1:15" x14ac:dyDescent="0.4">
      <c r="A40" s="1" t="s">
        <v>2972</v>
      </c>
      <c r="B40" s="1" t="s">
        <v>2971</v>
      </c>
      <c r="C40" s="1" t="s">
        <v>2976</v>
      </c>
      <c r="D40" s="1" t="s">
        <v>2977</v>
      </c>
      <c r="E40" s="1" t="s">
        <v>2962</v>
      </c>
      <c r="F40" s="1" t="s">
        <v>14</v>
      </c>
      <c r="G40" s="4" t="str">
        <f>"08831"</f>
        <v>08831</v>
      </c>
      <c r="H40" s="1">
        <v>6</v>
      </c>
      <c r="I40" s="1">
        <v>1.8</v>
      </c>
      <c r="J40" s="1">
        <v>79</v>
      </c>
      <c r="K40" s="1">
        <v>13</v>
      </c>
      <c r="L40" s="1" t="s">
        <v>2973</v>
      </c>
      <c r="M40" s="1" t="s">
        <v>2974</v>
      </c>
      <c r="N40" s="1" t="s">
        <v>12</v>
      </c>
      <c r="O40" s="1" t="s">
        <v>2975</v>
      </c>
    </row>
    <row r="41" spans="1:15" x14ac:dyDescent="0.4">
      <c r="A41" s="1" t="s">
        <v>115</v>
      </c>
      <c r="B41" s="1" t="s">
        <v>111</v>
      </c>
      <c r="C41" s="1" t="s">
        <v>118</v>
      </c>
      <c r="D41" s="1" t="s">
        <v>119</v>
      </c>
      <c r="E41" s="1" t="s">
        <v>4674</v>
      </c>
      <c r="F41" s="1" t="s">
        <v>14</v>
      </c>
      <c r="G41" s="4" t="str">
        <f>"08234"</f>
        <v>08234</v>
      </c>
      <c r="H41" s="1">
        <v>258</v>
      </c>
      <c r="I41" s="1">
        <v>100</v>
      </c>
      <c r="J41" s="1">
        <v>0</v>
      </c>
      <c r="K41" s="1">
        <v>0</v>
      </c>
      <c r="L41" s="1" t="s">
        <v>77</v>
      </c>
      <c r="M41" s="1" t="s">
        <v>116</v>
      </c>
      <c r="N41" s="1" t="s">
        <v>12</v>
      </c>
      <c r="O41" s="1" t="s">
        <v>117</v>
      </c>
    </row>
    <row r="42" spans="1:15" x14ac:dyDescent="0.4">
      <c r="A42" s="1" t="s">
        <v>2650</v>
      </c>
      <c r="B42" s="1" t="s">
        <v>2649</v>
      </c>
      <c r="C42" s="1" t="s">
        <v>2653</v>
      </c>
      <c r="D42" s="1" t="s">
        <v>2654</v>
      </c>
      <c r="E42" s="1" t="s">
        <v>4682</v>
      </c>
      <c r="F42" s="1" t="s">
        <v>14</v>
      </c>
      <c r="G42" s="4" t="str">
        <f>"08822-9180"</f>
        <v>08822-9180</v>
      </c>
      <c r="H42" s="1">
        <v>15</v>
      </c>
      <c r="I42" s="1">
        <v>4</v>
      </c>
      <c r="J42" s="1">
        <v>0</v>
      </c>
      <c r="K42" s="1">
        <v>66</v>
      </c>
      <c r="L42" s="1" t="s">
        <v>364</v>
      </c>
      <c r="M42" s="1" t="s">
        <v>2651</v>
      </c>
      <c r="N42" s="1" t="s">
        <v>12</v>
      </c>
      <c r="O42" s="1" t="s">
        <v>2652</v>
      </c>
    </row>
    <row r="43" spans="1:15" x14ac:dyDescent="0.4">
      <c r="A43" s="1" t="s">
        <v>4565</v>
      </c>
      <c r="B43" s="1" t="s">
        <v>4564</v>
      </c>
      <c r="C43" s="1" t="s">
        <v>4568</v>
      </c>
      <c r="D43" s="1" t="s">
        <v>1599</v>
      </c>
      <c r="E43" s="1" t="s">
        <v>4594</v>
      </c>
      <c r="F43" s="1" t="s">
        <v>14</v>
      </c>
      <c r="G43" s="4" t="str">
        <f>"07083"</f>
        <v>07083</v>
      </c>
      <c r="H43" s="1">
        <v>72</v>
      </c>
      <c r="I43" s="1">
        <v>17.399999999999999</v>
      </c>
      <c r="J43" s="1">
        <v>0</v>
      </c>
      <c r="K43" s="1">
        <v>61</v>
      </c>
      <c r="L43" s="1" t="s">
        <v>234</v>
      </c>
      <c r="M43" s="1" t="s">
        <v>4566</v>
      </c>
      <c r="N43" s="1" t="s">
        <v>867</v>
      </c>
      <c r="O43" s="1" t="s">
        <v>4567</v>
      </c>
    </row>
    <row r="44" spans="1:15" x14ac:dyDescent="0.4">
      <c r="A44" s="1" t="s">
        <v>4231</v>
      </c>
      <c r="B44" s="1" t="s">
        <v>4230</v>
      </c>
      <c r="C44" s="1" t="s">
        <v>4234</v>
      </c>
      <c r="D44" s="1" t="s">
        <v>4235</v>
      </c>
      <c r="E44" s="1" t="s">
        <v>1597</v>
      </c>
      <c r="F44" s="1" t="s">
        <v>14</v>
      </c>
      <c r="G44" s="4" t="str">
        <f>"07069"</f>
        <v>07069</v>
      </c>
      <c r="H44" s="1">
        <v>29</v>
      </c>
      <c r="I44" s="1">
        <v>7.4</v>
      </c>
      <c r="J44" s="1">
        <v>0</v>
      </c>
      <c r="K44" s="1">
        <v>72</v>
      </c>
      <c r="L44" s="1" t="s">
        <v>833</v>
      </c>
      <c r="M44" s="1" t="s">
        <v>4232</v>
      </c>
      <c r="N44" s="1" t="s">
        <v>12</v>
      </c>
      <c r="O44" s="1" t="s">
        <v>4233</v>
      </c>
    </row>
    <row r="45" spans="1:15" x14ac:dyDescent="0.4">
      <c r="A45" s="1" t="s">
        <v>3666</v>
      </c>
      <c r="B45" s="1" t="s">
        <v>3665</v>
      </c>
      <c r="C45" s="1" t="s">
        <v>3669</v>
      </c>
      <c r="D45" s="1" t="s">
        <v>3670</v>
      </c>
      <c r="E45" s="1" t="s">
        <v>4685</v>
      </c>
      <c r="F45" s="1" t="s">
        <v>14</v>
      </c>
      <c r="G45" s="4" t="str">
        <f>"08721-1246"</f>
        <v>08721-1246</v>
      </c>
      <c r="H45" s="1">
        <v>84</v>
      </c>
      <c r="I45" s="1">
        <v>17.7</v>
      </c>
      <c r="J45" s="1">
        <v>0</v>
      </c>
      <c r="K45" s="1">
        <v>73</v>
      </c>
      <c r="L45" s="1" t="s">
        <v>1334</v>
      </c>
      <c r="M45" s="1" t="s">
        <v>3667</v>
      </c>
      <c r="N45" s="1" t="s">
        <v>12</v>
      </c>
      <c r="O45" s="1" t="s">
        <v>3668</v>
      </c>
    </row>
    <row r="46" spans="1:15" x14ac:dyDescent="0.4">
      <c r="A46" s="1" t="s">
        <v>3660</v>
      </c>
      <c r="B46" s="1" t="s">
        <v>3659</v>
      </c>
      <c r="C46" s="1" t="s">
        <v>3663</v>
      </c>
      <c r="D46" s="1" t="s">
        <v>3664</v>
      </c>
      <c r="E46" s="1" t="s">
        <v>4685</v>
      </c>
      <c r="F46" s="1" t="s">
        <v>14</v>
      </c>
      <c r="G46" s="4" t="str">
        <f>"08008"</f>
        <v>08008</v>
      </c>
      <c r="H46" s="1">
        <v>4</v>
      </c>
      <c r="I46" s="1">
        <v>7.1</v>
      </c>
      <c r="J46" s="1">
        <v>0</v>
      </c>
      <c r="K46" s="1">
        <v>5</v>
      </c>
      <c r="L46" s="1" t="s">
        <v>2307</v>
      </c>
      <c r="M46" s="1" t="s">
        <v>3661</v>
      </c>
      <c r="N46" s="1" t="s">
        <v>134</v>
      </c>
      <c r="O46" s="1" t="s">
        <v>3662</v>
      </c>
    </row>
    <row r="47" spans="1:15" x14ac:dyDescent="0.4">
      <c r="A47" s="1" t="s">
        <v>2772</v>
      </c>
      <c r="B47" s="1" t="s">
        <v>2771</v>
      </c>
      <c r="C47" s="1" t="s">
        <v>2774</v>
      </c>
      <c r="D47" s="1" t="s">
        <v>2775</v>
      </c>
      <c r="E47" s="1" t="s">
        <v>4683</v>
      </c>
      <c r="F47" s="1" t="s">
        <v>14</v>
      </c>
      <c r="G47" s="4" t="str">
        <f>"08560-9633"</f>
        <v>08560-9633</v>
      </c>
      <c r="H47" s="1">
        <v>15</v>
      </c>
      <c r="I47" s="1">
        <v>3.3</v>
      </c>
      <c r="J47" s="1">
        <v>0</v>
      </c>
      <c r="K47" s="1">
        <v>67</v>
      </c>
      <c r="L47" s="1" t="s">
        <v>1164</v>
      </c>
      <c r="M47" s="1" t="s">
        <v>408</v>
      </c>
      <c r="N47" s="1" t="s">
        <v>12</v>
      </c>
      <c r="O47" s="1" t="s">
        <v>2773</v>
      </c>
    </row>
    <row r="48" spans="1:15" x14ac:dyDescent="0.4">
      <c r="A48" s="1" t="s">
        <v>4117</v>
      </c>
      <c r="B48" s="1" t="s">
        <v>4116</v>
      </c>
      <c r="C48" s="1" t="s">
        <v>4121</v>
      </c>
      <c r="D48" s="1" t="s">
        <v>4122</v>
      </c>
      <c r="E48" s="1" t="s">
        <v>1597</v>
      </c>
      <c r="F48" s="1" t="s">
        <v>14</v>
      </c>
      <c r="G48" s="4" t="str">
        <f>"07921"</f>
        <v>07921</v>
      </c>
      <c r="H48" s="1">
        <v>19</v>
      </c>
      <c r="I48" s="1">
        <v>4.5999999999999996</v>
      </c>
      <c r="J48" s="1">
        <v>0</v>
      </c>
      <c r="K48" s="1">
        <v>40</v>
      </c>
      <c r="L48" s="1" t="s">
        <v>4118</v>
      </c>
      <c r="M48" s="1" t="s">
        <v>4119</v>
      </c>
      <c r="N48" s="1" t="s">
        <v>12</v>
      </c>
      <c r="O48" s="1" t="s">
        <v>4120</v>
      </c>
    </row>
    <row r="49" spans="1:15" x14ac:dyDescent="0.4">
      <c r="A49" s="1" t="s">
        <v>3484</v>
      </c>
      <c r="B49" s="1" t="s">
        <v>3483</v>
      </c>
      <c r="C49" s="1" t="s">
        <v>3488</v>
      </c>
      <c r="D49" s="1" t="s">
        <v>3489</v>
      </c>
      <c r="E49" s="1" t="s">
        <v>1033</v>
      </c>
      <c r="F49" s="1" t="s">
        <v>14</v>
      </c>
      <c r="G49" s="4" t="str">
        <f>"07981-1252"</f>
        <v>07981-1252</v>
      </c>
      <c r="H49" s="1">
        <v>16</v>
      </c>
      <c r="I49" s="1">
        <v>5.4</v>
      </c>
      <c r="J49" s="1">
        <v>0</v>
      </c>
      <c r="K49" s="1">
        <v>37</v>
      </c>
      <c r="L49" s="1" t="s">
        <v>3485</v>
      </c>
      <c r="M49" s="1" t="s">
        <v>3486</v>
      </c>
      <c r="N49" s="1" t="s">
        <v>12</v>
      </c>
      <c r="O49" s="1" t="s">
        <v>3487</v>
      </c>
    </row>
    <row r="50" spans="1:15" x14ac:dyDescent="0.4">
      <c r="A50" s="1" t="s">
        <v>1765</v>
      </c>
      <c r="B50" s="1" t="s">
        <v>1763</v>
      </c>
      <c r="C50" s="1" t="s">
        <v>1768</v>
      </c>
      <c r="D50" s="1" t="s">
        <v>1764</v>
      </c>
      <c r="E50" s="1" t="s">
        <v>4681</v>
      </c>
      <c r="F50" s="1" t="s">
        <v>14</v>
      </c>
      <c r="G50" s="4" t="str">
        <f>"07109-1307"</f>
        <v>07109-1307</v>
      </c>
      <c r="H50" s="1">
        <v>15</v>
      </c>
      <c r="I50" s="1">
        <v>9.1</v>
      </c>
      <c r="J50" s="1">
        <v>0</v>
      </c>
      <c r="K50" s="1">
        <v>23</v>
      </c>
      <c r="L50" s="1" t="s">
        <v>457</v>
      </c>
      <c r="M50" s="1" t="s">
        <v>1766</v>
      </c>
      <c r="N50" s="1" t="s">
        <v>12</v>
      </c>
      <c r="O50" s="1" t="s">
        <v>1767</v>
      </c>
    </row>
    <row r="51" spans="1:15" x14ac:dyDescent="0.4">
      <c r="A51" s="1" t="s">
        <v>1769</v>
      </c>
      <c r="B51" s="1" t="s">
        <v>1763</v>
      </c>
      <c r="C51" s="1" t="s">
        <v>1773</v>
      </c>
      <c r="D51" s="1" t="s">
        <v>1764</v>
      </c>
      <c r="E51" s="1" t="s">
        <v>4681</v>
      </c>
      <c r="F51" s="1" t="s">
        <v>14</v>
      </c>
      <c r="G51" s="4" t="str">
        <f>"07109-3210"</f>
        <v>07109-3210</v>
      </c>
      <c r="H51" s="1">
        <v>24</v>
      </c>
      <c r="I51" s="1">
        <v>5.5</v>
      </c>
      <c r="J51" s="1">
        <v>0</v>
      </c>
      <c r="K51" s="1">
        <v>50</v>
      </c>
      <c r="L51" s="1" t="s">
        <v>1770</v>
      </c>
      <c r="M51" s="1" t="s">
        <v>1771</v>
      </c>
      <c r="N51" s="1" t="s">
        <v>12</v>
      </c>
      <c r="O51" s="1" t="s">
        <v>1772</v>
      </c>
    </row>
    <row r="52" spans="1:15" x14ac:dyDescent="0.4">
      <c r="A52" s="1" t="s">
        <v>1774</v>
      </c>
      <c r="B52" s="1" t="s">
        <v>1763</v>
      </c>
      <c r="C52" s="1" t="s">
        <v>1777</v>
      </c>
      <c r="D52" s="1" t="s">
        <v>1764</v>
      </c>
      <c r="E52" s="1" t="s">
        <v>4681</v>
      </c>
      <c r="F52" s="1" t="s">
        <v>14</v>
      </c>
      <c r="G52" s="4" t="str">
        <f>"07109-2207"</f>
        <v>07109-2207</v>
      </c>
      <c r="H52" s="1">
        <v>25</v>
      </c>
      <c r="I52" s="1">
        <v>6.9</v>
      </c>
      <c r="J52" s="1">
        <v>0</v>
      </c>
      <c r="K52" s="1">
        <v>50</v>
      </c>
      <c r="L52" s="1" t="s">
        <v>637</v>
      </c>
      <c r="M52" s="1" t="s">
        <v>1775</v>
      </c>
      <c r="N52" s="1" t="s">
        <v>12</v>
      </c>
      <c r="O52" s="1" t="s">
        <v>1776</v>
      </c>
    </row>
    <row r="53" spans="1:15" x14ac:dyDescent="0.4">
      <c r="A53" s="1" t="s">
        <v>1778</v>
      </c>
      <c r="B53" s="1" t="s">
        <v>1763</v>
      </c>
      <c r="C53" s="1" t="s">
        <v>1781</v>
      </c>
      <c r="D53" s="1" t="s">
        <v>1764</v>
      </c>
      <c r="E53" s="1" t="s">
        <v>4681</v>
      </c>
      <c r="F53" s="1" t="s">
        <v>14</v>
      </c>
      <c r="G53" s="4" t="str">
        <f>"07109-1864"</f>
        <v>07109-1864</v>
      </c>
      <c r="H53" s="1">
        <v>48</v>
      </c>
      <c r="I53" s="1">
        <v>11.2</v>
      </c>
      <c r="J53" s="1">
        <v>0</v>
      </c>
      <c r="K53" s="1">
        <v>68</v>
      </c>
      <c r="L53" s="1" t="s">
        <v>70</v>
      </c>
      <c r="M53" s="1" t="s">
        <v>1779</v>
      </c>
      <c r="N53" s="1" t="s">
        <v>12</v>
      </c>
      <c r="O53" s="1" t="s">
        <v>1780</v>
      </c>
    </row>
    <row r="54" spans="1:15" x14ac:dyDescent="0.4">
      <c r="A54" s="1" t="s">
        <v>1782</v>
      </c>
      <c r="B54" s="1" t="s">
        <v>1763</v>
      </c>
      <c r="C54" s="1" t="s">
        <v>1785</v>
      </c>
      <c r="D54" s="1" t="s">
        <v>1764</v>
      </c>
      <c r="E54" s="1" t="s">
        <v>4681</v>
      </c>
      <c r="F54" s="1" t="s">
        <v>14</v>
      </c>
      <c r="G54" s="4" t="str">
        <f>"07109-1628"</f>
        <v>07109-1628</v>
      </c>
      <c r="H54" s="1">
        <v>39</v>
      </c>
      <c r="I54" s="1">
        <v>7.7</v>
      </c>
      <c r="J54" s="1">
        <v>0</v>
      </c>
      <c r="K54" s="1">
        <v>58</v>
      </c>
      <c r="L54" s="1" t="s">
        <v>77</v>
      </c>
      <c r="M54" s="1" t="s">
        <v>1783</v>
      </c>
      <c r="N54" s="1" t="s">
        <v>12</v>
      </c>
      <c r="O54" s="1" t="s">
        <v>1784</v>
      </c>
    </row>
    <row r="55" spans="1:15" x14ac:dyDescent="0.4">
      <c r="A55" s="1" t="s">
        <v>1228</v>
      </c>
      <c r="B55" s="1" t="s">
        <v>1226</v>
      </c>
      <c r="C55" s="1" t="s">
        <v>1231</v>
      </c>
      <c r="D55" s="1" t="s">
        <v>1227</v>
      </c>
      <c r="E55" s="1" t="s">
        <v>1271</v>
      </c>
      <c r="F55" s="1" t="s">
        <v>14</v>
      </c>
      <c r="G55" s="4" t="str">
        <f>"08031"</f>
        <v>08031</v>
      </c>
      <c r="H55" s="1">
        <v>155</v>
      </c>
      <c r="I55" s="1">
        <v>31.3</v>
      </c>
      <c r="J55" s="1">
        <v>0</v>
      </c>
      <c r="K55" s="1">
        <v>66</v>
      </c>
      <c r="L55" s="1" t="s">
        <v>110</v>
      </c>
      <c r="M55" s="1" t="s">
        <v>1229</v>
      </c>
      <c r="N55" s="1" t="s">
        <v>12</v>
      </c>
      <c r="O55" s="1" t="s">
        <v>1230</v>
      </c>
    </row>
    <row r="56" spans="1:15" x14ac:dyDescent="0.4">
      <c r="A56" s="1" t="s">
        <v>3162</v>
      </c>
      <c r="B56" s="1" t="s">
        <v>3161</v>
      </c>
      <c r="C56" s="1" t="s">
        <v>3165</v>
      </c>
      <c r="D56" s="1" t="s">
        <v>3166</v>
      </c>
      <c r="E56" s="1" t="s">
        <v>4684</v>
      </c>
      <c r="F56" s="1" t="s">
        <v>14</v>
      </c>
      <c r="G56" s="4" t="str">
        <f>"07719-2727"</f>
        <v>07719-2727</v>
      </c>
      <c r="H56" s="1">
        <v>62</v>
      </c>
      <c r="I56" s="1">
        <v>15.5</v>
      </c>
      <c r="J56" s="1">
        <v>0</v>
      </c>
      <c r="K56" s="1">
        <v>37</v>
      </c>
      <c r="L56" s="1" t="s">
        <v>138</v>
      </c>
      <c r="M56" s="1" t="s">
        <v>3163</v>
      </c>
      <c r="N56" s="1" t="s">
        <v>12</v>
      </c>
      <c r="O56" s="1" t="s">
        <v>3164</v>
      </c>
    </row>
    <row r="57" spans="1:15" x14ac:dyDescent="0.4">
      <c r="A57" s="1" t="s">
        <v>1965</v>
      </c>
      <c r="B57" s="1" t="s">
        <v>1952</v>
      </c>
      <c r="C57" s="1" t="s">
        <v>1967</v>
      </c>
      <c r="D57" s="1" t="s">
        <v>1610</v>
      </c>
      <c r="E57" s="1" t="s">
        <v>4681</v>
      </c>
      <c r="F57" s="1" t="s">
        <v>14</v>
      </c>
      <c r="G57" s="4" t="str">
        <f>"07108-2406"</f>
        <v>07108-2406</v>
      </c>
      <c r="H57" s="1">
        <v>82</v>
      </c>
      <c r="I57" s="1">
        <v>16.100000000000001</v>
      </c>
      <c r="J57" s="1">
        <v>0</v>
      </c>
      <c r="K57" s="1">
        <v>51</v>
      </c>
      <c r="L57" s="1" t="s">
        <v>1168</v>
      </c>
      <c r="M57" s="1" t="s">
        <v>43</v>
      </c>
      <c r="N57" s="1" t="s">
        <v>12</v>
      </c>
      <c r="O57" s="1" t="s">
        <v>1966</v>
      </c>
    </row>
    <row r="58" spans="1:15" x14ac:dyDescent="0.4">
      <c r="A58" s="1" t="s">
        <v>4617</v>
      </c>
      <c r="B58" s="1" t="s">
        <v>4616</v>
      </c>
      <c r="C58" s="1" t="s">
        <v>4620</v>
      </c>
      <c r="D58" s="1" t="s">
        <v>4621</v>
      </c>
      <c r="E58" s="1" t="s">
        <v>76</v>
      </c>
      <c r="F58" s="1" t="s">
        <v>14</v>
      </c>
      <c r="G58" s="4" t="str">
        <f>"07823"</f>
        <v>07823</v>
      </c>
      <c r="H58" s="1">
        <v>39</v>
      </c>
      <c r="I58" s="1">
        <v>14.2</v>
      </c>
      <c r="J58" s="1">
        <v>0</v>
      </c>
      <c r="K58" s="1">
        <v>36</v>
      </c>
      <c r="L58" s="1" t="s">
        <v>1535</v>
      </c>
      <c r="M58" s="1" t="s">
        <v>4618</v>
      </c>
      <c r="N58" s="1" t="s">
        <v>12</v>
      </c>
      <c r="O58" s="1" t="s">
        <v>4619</v>
      </c>
    </row>
    <row r="59" spans="1:15" x14ac:dyDescent="0.4">
      <c r="A59" s="1" t="s">
        <v>2782</v>
      </c>
      <c r="B59" s="1" t="s">
        <v>2781</v>
      </c>
      <c r="C59" s="1" t="s">
        <v>2785</v>
      </c>
      <c r="D59" s="1" t="s">
        <v>2786</v>
      </c>
      <c r="E59" s="1" t="s">
        <v>4683</v>
      </c>
      <c r="F59" s="1" t="s">
        <v>14</v>
      </c>
      <c r="G59" s="4" t="str">
        <f>"08648-3224"</f>
        <v>08648-3224</v>
      </c>
      <c r="H59" s="1">
        <v>19</v>
      </c>
      <c r="I59" s="1">
        <v>5.6</v>
      </c>
      <c r="J59" s="1">
        <v>0</v>
      </c>
      <c r="K59" s="1">
        <v>69</v>
      </c>
      <c r="L59" s="1" t="s">
        <v>2783</v>
      </c>
      <c r="M59" s="1" t="s">
        <v>2182</v>
      </c>
      <c r="N59" s="1" t="s">
        <v>12</v>
      </c>
      <c r="O59" s="1" t="s">
        <v>2784</v>
      </c>
    </row>
    <row r="60" spans="1:15" x14ac:dyDescent="0.4">
      <c r="A60" s="1" t="s">
        <v>3633</v>
      </c>
      <c r="B60" s="1" t="s">
        <v>2308</v>
      </c>
      <c r="C60" s="1" t="s">
        <v>3636</v>
      </c>
      <c r="D60" s="1" t="s">
        <v>3637</v>
      </c>
      <c r="E60" s="1" t="s">
        <v>1033</v>
      </c>
      <c r="F60" s="1" t="s">
        <v>14</v>
      </c>
      <c r="G60" s="4" t="str">
        <f>"07853"</f>
        <v>07853</v>
      </c>
      <c r="H60" s="1">
        <v>31</v>
      </c>
      <c r="I60" s="1">
        <v>5.9</v>
      </c>
      <c r="J60" s="1">
        <v>0</v>
      </c>
      <c r="K60" s="1">
        <v>97</v>
      </c>
      <c r="L60" s="1" t="s">
        <v>335</v>
      </c>
      <c r="M60" s="1" t="s">
        <v>3634</v>
      </c>
      <c r="N60" s="1" t="s">
        <v>12</v>
      </c>
      <c r="O60" s="1" t="s">
        <v>3635</v>
      </c>
    </row>
    <row r="61" spans="1:15" x14ac:dyDescent="0.4">
      <c r="A61" s="1" t="s">
        <v>1830</v>
      </c>
      <c r="B61" s="1" t="s">
        <v>1826</v>
      </c>
      <c r="C61" s="1" t="s">
        <v>1833</v>
      </c>
      <c r="D61" s="1" t="s">
        <v>1612</v>
      </c>
      <c r="E61" s="1" t="s">
        <v>4681</v>
      </c>
      <c r="F61" s="1" t="s">
        <v>14</v>
      </c>
      <c r="G61" s="4" t="str">
        <f>"07018"</f>
        <v>07018</v>
      </c>
      <c r="H61" s="1">
        <v>30</v>
      </c>
      <c r="I61" s="1">
        <v>5.7</v>
      </c>
      <c r="J61" s="1">
        <v>0</v>
      </c>
      <c r="K61" s="1">
        <v>47</v>
      </c>
      <c r="L61" s="1" t="s">
        <v>1211</v>
      </c>
      <c r="M61" s="1" t="s">
        <v>1831</v>
      </c>
      <c r="N61" s="1" t="s">
        <v>12</v>
      </c>
      <c r="O61" s="1" t="s">
        <v>1832</v>
      </c>
    </row>
    <row r="62" spans="1:15" x14ac:dyDescent="0.4">
      <c r="A62" s="1" t="s">
        <v>1436</v>
      </c>
      <c r="B62" s="1" t="s">
        <v>1430</v>
      </c>
      <c r="C62" s="1" t="s">
        <v>1439</v>
      </c>
      <c r="D62" s="1" t="s">
        <v>1435</v>
      </c>
      <c r="E62" s="1" t="s">
        <v>1271</v>
      </c>
      <c r="F62" s="1" t="s">
        <v>14</v>
      </c>
      <c r="G62" s="4" t="str">
        <f>"08109-3173"</f>
        <v>08109-3173</v>
      </c>
      <c r="H62" s="1">
        <v>49</v>
      </c>
      <c r="I62" s="1">
        <v>11.7</v>
      </c>
      <c r="J62" s="1">
        <v>0</v>
      </c>
      <c r="K62" s="1">
        <v>91</v>
      </c>
      <c r="L62" s="1" t="s">
        <v>247</v>
      </c>
      <c r="M62" s="1" t="s">
        <v>1437</v>
      </c>
      <c r="N62" s="1" t="s">
        <v>12</v>
      </c>
      <c r="O62" s="1" t="s">
        <v>1438</v>
      </c>
    </row>
    <row r="63" spans="1:15" x14ac:dyDescent="0.4">
      <c r="A63" s="1" t="s">
        <v>1436</v>
      </c>
      <c r="B63" s="1" t="s">
        <v>2902</v>
      </c>
      <c r="C63" s="1" t="s">
        <v>2905</v>
      </c>
      <c r="D63" s="1" t="s">
        <v>2906</v>
      </c>
      <c r="E63" s="1" t="s">
        <v>1271</v>
      </c>
      <c r="F63" s="1" t="s">
        <v>14</v>
      </c>
      <c r="G63" s="4" t="str">
        <f>"08817"</f>
        <v>08817</v>
      </c>
      <c r="H63" s="1">
        <v>49</v>
      </c>
      <c r="I63" s="1">
        <v>11.7</v>
      </c>
      <c r="J63" s="1">
        <v>0</v>
      </c>
      <c r="K63" s="1">
        <v>91</v>
      </c>
      <c r="L63" s="1" t="s">
        <v>58</v>
      </c>
      <c r="M63" s="1" t="s">
        <v>2903</v>
      </c>
      <c r="N63" s="1" t="s">
        <v>12</v>
      </c>
      <c r="O63" s="1" t="s">
        <v>2904</v>
      </c>
    </row>
    <row r="64" spans="1:15" x14ac:dyDescent="0.4">
      <c r="A64" s="1" t="s">
        <v>1901</v>
      </c>
      <c r="B64" s="1" t="s">
        <v>1897</v>
      </c>
      <c r="C64" s="1" t="s">
        <v>1904</v>
      </c>
      <c r="D64" s="1" t="s">
        <v>1593</v>
      </c>
      <c r="E64" s="1" t="s">
        <v>4681</v>
      </c>
      <c r="F64" s="1" t="s">
        <v>14</v>
      </c>
      <c r="G64" s="4" t="str">
        <f>"07111-3605"</f>
        <v>07111-3605</v>
      </c>
      <c r="H64" s="1">
        <v>120</v>
      </c>
      <c r="I64" s="1">
        <v>25.9</v>
      </c>
      <c r="J64" s="1">
        <v>0</v>
      </c>
      <c r="K64" s="1">
        <v>72</v>
      </c>
      <c r="L64" s="1" t="s">
        <v>1902</v>
      </c>
      <c r="M64" s="1" t="s">
        <v>1388</v>
      </c>
      <c r="N64" s="1" t="s">
        <v>12</v>
      </c>
      <c r="O64" s="1" t="s">
        <v>1903</v>
      </c>
    </row>
    <row r="65" spans="1:15" x14ac:dyDescent="0.4">
      <c r="A65" s="1" t="s">
        <v>683</v>
      </c>
      <c r="B65" s="1" t="s">
        <v>682</v>
      </c>
      <c r="C65" s="1" t="s">
        <v>687</v>
      </c>
      <c r="D65" s="1" t="s">
        <v>688</v>
      </c>
      <c r="E65" s="1" t="s">
        <v>4675</v>
      </c>
      <c r="F65" s="1" t="s">
        <v>14</v>
      </c>
      <c r="G65" s="4" t="str">
        <f>"07646"</f>
        <v>07646</v>
      </c>
      <c r="H65" s="1">
        <v>4</v>
      </c>
      <c r="I65" s="1">
        <v>1</v>
      </c>
      <c r="J65" s="1">
        <v>0</v>
      </c>
      <c r="K65" s="1">
        <v>71</v>
      </c>
      <c r="L65" s="1" t="s">
        <v>684</v>
      </c>
      <c r="M65" s="1" t="s">
        <v>685</v>
      </c>
      <c r="N65" s="1" t="s">
        <v>12</v>
      </c>
      <c r="O65" s="1" t="s">
        <v>686</v>
      </c>
    </row>
    <row r="66" spans="1:15" x14ac:dyDescent="0.4">
      <c r="A66" s="1" t="s">
        <v>1234</v>
      </c>
      <c r="B66" s="1" t="s">
        <v>1233</v>
      </c>
      <c r="C66" s="1" t="s">
        <v>1237</v>
      </c>
      <c r="D66" s="1" t="s">
        <v>1238</v>
      </c>
      <c r="E66" s="1" t="s">
        <v>1271</v>
      </c>
      <c r="F66" s="1" t="s">
        <v>14</v>
      </c>
      <c r="G66" s="4" t="str">
        <f>"08009-9220"</f>
        <v>08009-9220</v>
      </c>
      <c r="H66" s="1">
        <v>41</v>
      </c>
      <c r="I66" s="1">
        <v>4.8</v>
      </c>
      <c r="J66" s="1">
        <v>0</v>
      </c>
      <c r="K66" s="1">
        <v>83</v>
      </c>
      <c r="L66" s="1" t="s">
        <v>442</v>
      </c>
      <c r="M66" s="1" t="s">
        <v>1235</v>
      </c>
      <c r="N66" s="1" t="s">
        <v>12</v>
      </c>
      <c r="O66" s="1" t="s">
        <v>1236</v>
      </c>
    </row>
    <row r="67" spans="1:15" x14ac:dyDescent="0.4">
      <c r="A67" s="1" t="s">
        <v>689</v>
      </c>
      <c r="B67" s="1" t="s">
        <v>682</v>
      </c>
      <c r="C67" s="1" t="s">
        <v>692</v>
      </c>
      <c r="D67" s="1" t="s">
        <v>688</v>
      </c>
      <c r="E67" s="1" t="s">
        <v>4675</v>
      </c>
      <c r="F67" s="1" t="s">
        <v>14</v>
      </c>
      <c r="G67" s="4" t="str">
        <f>"07646"</f>
        <v>07646</v>
      </c>
      <c r="H67" s="1">
        <v>6</v>
      </c>
      <c r="I67" s="1">
        <v>1.3</v>
      </c>
      <c r="J67" s="1">
        <v>0</v>
      </c>
      <c r="K67" s="1">
        <v>65</v>
      </c>
      <c r="L67" s="1" t="s">
        <v>15</v>
      </c>
      <c r="M67" s="1" t="s">
        <v>690</v>
      </c>
      <c r="N67" s="1" t="s">
        <v>12</v>
      </c>
      <c r="O67" s="1" t="s">
        <v>691</v>
      </c>
    </row>
    <row r="68" spans="1:15" x14ac:dyDescent="0.4">
      <c r="A68" s="1" t="s">
        <v>2176</v>
      </c>
      <c r="B68" s="1" t="s">
        <v>2175</v>
      </c>
      <c r="C68" s="1" t="s">
        <v>2179</v>
      </c>
      <c r="D68" s="1" t="s">
        <v>2180</v>
      </c>
      <c r="E68" s="1" t="s">
        <v>4681</v>
      </c>
      <c r="F68" s="1" t="s">
        <v>14</v>
      </c>
      <c r="G68" s="4" t="str">
        <f>"07052"</f>
        <v>07052</v>
      </c>
      <c r="H68" s="1">
        <v>49</v>
      </c>
      <c r="I68" s="1">
        <v>100</v>
      </c>
      <c r="J68" s="1">
        <v>0</v>
      </c>
      <c r="K68" s="1">
        <v>0</v>
      </c>
      <c r="L68" s="1" t="s">
        <v>24</v>
      </c>
      <c r="M68" s="1" t="s">
        <v>2177</v>
      </c>
      <c r="N68" s="1" t="s">
        <v>12</v>
      </c>
      <c r="O68" s="1" t="s">
        <v>2178</v>
      </c>
    </row>
    <row r="69" spans="1:15" x14ac:dyDescent="0.4">
      <c r="A69" s="1" t="s">
        <v>3432</v>
      </c>
      <c r="B69" s="1" t="s">
        <v>3431</v>
      </c>
      <c r="C69" s="1" t="s">
        <v>3435</v>
      </c>
      <c r="D69" s="1" t="s">
        <v>3436</v>
      </c>
      <c r="E69" s="1" t="s">
        <v>4684</v>
      </c>
      <c r="F69" s="1" t="s">
        <v>14</v>
      </c>
      <c r="G69" s="4" t="str">
        <f>"07764-1133"</f>
        <v>07764-1133</v>
      </c>
      <c r="H69" s="1">
        <v>44</v>
      </c>
      <c r="I69" s="1">
        <v>13.8</v>
      </c>
      <c r="J69" s="1">
        <v>0</v>
      </c>
      <c r="K69" s="1">
        <v>47</v>
      </c>
      <c r="L69" s="1" t="s">
        <v>34</v>
      </c>
      <c r="M69" s="1" t="s">
        <v>3433</v>
      </c>
      <c r="N69" s="1" t="s">
        <v>12</v>
      </c>
      <c r="O69" s="1" t="s">
        <v>3434</v>
      </c>
    </row>
    <row r="70" spans="1:15" x14ac:dyDescent="0.4">
      <c r="A70" s="1" t="s">
        <v>950</v>
      </c>
      <c r="B70" s="1" t="s">
        <v>950</v>
      </c>
      <c r="C70" s="1" t="s">
        <v>954</v>
      </c>
      <c r="D70" s="1" t="s">
        <v>955</v>
      </c>
      <c r="E70" s="1" t="s">
        <v>4676</v>
      </c>
      <c r="F70" s="1" t="s">
        <v>14</v>
      </c>
      <c r="G70" s="4" t="str">
        <f>"08010"</f>
        <v>08010</v>
      </c>
      <c r="H70" s="1">
        <v>41</v>
      </c>
      <c r="I70" s="1">
        <v>12</v>
      </c>
      <c r="J70" s="1">
        <v>0</v>
      </c>
      <c r="K70" s="1">
        <v>41</v>
      </c>
      <c r="L70" s="1" t="s">
        <v>951</v>
      </c>
      <c r="M70" s="1" t="s">
        <v>952</v>
      </c>
      <c r="N70" s="1" t="s">
        <v>12</v>
      </c>
      <c r="O70" s="1" t="s">
        <v>953</v>
      </c>
    </row>
    <row r="71" spans="1:15" x14ac:dyDescent="0.4">
      <c r="A71" s="1" t="s">
        <v>2286</v>
      </c>
      <c r="B71" s="1" t="s">
        <v>2285</v>
      </c>
      <c r="C71" s="1" t="s">
        <v>2288</v>
      </c>
      <c r="D71" s="1" t="s">
        <v>2289</v>
      </c>
      <c r="E71" s="1" t="s">
        <v>4677</v>
      </c>
      <c r="F71" s="1" t="s">
        <v>14</v>
      </c>
      <c r="G71" s="4" t="str">
        <f>"08066"</f>
        <v>08066</v>
      </c>
      <c r="H71" s="1">
        <v>75</v>
      </c>
      <c r="I71" s="1">
        <v>25.3</v>
      </c>
      <c r="J71" s="1">
        <v>0</v>
      </c>
      <c r="K71" s="1">
        <v>76</v>
      </c>
      <c r="L71" s="1" t="s">
        <v>109</v>
      </c>
      <c r="M71" s="1" t="s">
        <v>1033</v>
      </c>
      <c r="N71" s="1" t="s">
        <v>12</v>
      </c>
      <c r="O71" s="1" t="s">
        <v>2287</v>
      </c>
    </row>
    <row r="72" spans="1:15" x14ac:dyDescent="0.4">
      <c r="A72" s="1" t="s">
        <v>3607</v>
      </c>
      <c r="B72" s="1" t="s">
        <v>3606</v>
      </c>
      <c r="C72" s="1" t="s">
        <v>3610</v>
      </c>
      <c r="D72" s="1" t="s">
        <v>3468</v>
      </c>
      <c r="E72" s="1" t="s">
        <v>1033</v>
      </c>
      <c r="F72" s="1" t="s">
        <v>14</v>
      </c>
      <c r="G72" s="4" t="str">
        <f>"07801"</f>
        <v>07801</v>
      </c>
      <c r="H72" s="1">
        <v>5</v>
      </c>
      <c r="I72" s="1">
        <v>1.6</v>
      </c>
      <c r="J72" s="1">
        <v>0</v>
      </c>
      <c r="K72" s="1">
        <v>38</v>
      </c>
      <c r="L72" s="1" t="s">
        <v>40</v>
      </c>
      <c r="M72" s="1" t="s">
        <v>3608</v>
      </c>
      <c r="N72" s="1" t="s">
        <v>12</v>
      </c>
      <c r="O72" s="1" t="s">
        <v>3609</v>
      </c>
    </row>
    <row r="73" spans="1:15" x14ac:dyDescent="0.4">
      <c r="A73" s="1" t="s">
        <v>4623</v>
      </c>
      <c r="B73" s="1" t="s">
        <v>4622</v>
      </c>
      <c r="C73" s="1" t="s">
        <v>4625</v>
      </c>
      <c r="D73" s="1" t="s">
        <v>1663</v>
      </c>
      <c r="E73" s="1" t="s">
        <v>76</v>
      </c>
      <c r="F73" s="1" t="s">
        <v>14</v>
      </c>
      <c r="G73" s="4" t="str">
        <f>"07825"</f>
        <v>07825</v>
      </c>
      <c r="H73" s="1">
        <v>14</v>
      </c>
      <c r="I73" s="1">
        <v>3.3</v>
      </c>
      <c r="J73" s="1">
        <v>0</v>
      </c>
      <c r="K73" s="1">
        <v>53</v>
      </c>
      <c r="L73" s="1" t="s">
        <v>975</v>
      </c>
      <c r="M73" s="1" t="s">
        <v>1225</v>
      </c>
      <c r="N73" s="1" t="s">
        <v>12</v>
      </c>
      <c r="O73" s="1" t="s">
        <v>4624</v>
      </c>
    </row>
    <row r="74" spans="1:15" x14ac:dyDescent="0.4">
      <c r="A74" s="1" t="s">
        <v>2610</v>
      </c>
      <c r="B74" s="1" t="s">
        <v>2609</v>
      </c>
      <c r="C74" s="1" t="s">
        <v>2614</v>
      </c>
      <c r="D74" s="1" t="s">
        <v>2615</v>
      </c>
      <c r="E74" s="1" t="s">
        <v>4682</v>
      </c>
      <c r="F74" s="1" t="s">
        <v>14</v>
      </c>
      <c r="G74" s="4" t="str">
        <f>"08804-9538"</f>
        <v>08804-9538</v>
      </c>
      <c r="H74" s="1">
        <v>10</v>
      </c>
      <c r="I74" s="1">
        <v>10.199999999999999</v>
      </c>
      <c r="J74" s="1">
        <v>0</v>
      </c>
      <c r="K74" s="1">
        <v>7</v>
      </c>
      <c r="L74" s="1" t="s">
        <v>2611</v>
      </c>
      <c r="M74" s="1" t="s">
        <v>2612</v>
      </c>
      <c r="N74" s="1" t="s">
        <v>134</v>
      </c>
      <c r="O74" s="1" t="s">
        <v>2613</v>
      </c>
    </row>
    <row r="75" spans="1:15" x14ac:dyDescent="0.4">
      <c r="A75" s="1" t="s">
        <v>3438</v>
      </c>
      <c r="B75" s="1" t="s">
        <v>3437</v>
      </c>
      <c r="C75" s="1" t="s">
        <v>3441</v>
      </c>
      <c r="D75" s="1" t="s">
        <v>3442</v>
      </c>
      <c r="E75" s="1" t="s">
        <v>1033</v>
      </c>
      <c r="F75" s="1" t="s">
        <v>14</v>
      </c>
      <c r="G75" s="4" t="str">
        <f>"07005-2220"</f>
        <v>07005-2220</v>
      </c>
      <c r="H75" s="1">
        <v>29</v>
      </c>
      <c r="I75" s="1">
        <v>4.5</v>
      </c>
      <c r="J75" s="1">
        <v>0</v>
      </c>
      <c r="K75" s="1">
        <v>0</v>
      </c>
      <c r="L75" s="1" t="s">
        <v>29</v>
      </c>
      <c r="M75" s="1" t="s">
        <v>3439</v>
      </c>
      <c r="N75" s="1" t="s">
        <v>12</v>
      </c>
      <c r="O75" s="1" t="s">
        <v>3440</v>
      </c>
    </row>
    <row r="76" spans="1:15" x14ac:dyDescent="0.4">
      <c r="A76" s="1" t="s">
        <v>2884</v>
      </c>
      <c r="B76" s="1" t="s">
        <v>2883</v>
      </c>
      <c r="C76" s="1" t="s">
        <v>2887</v>
      </c>
      <c r="D76" s="1" t="s">
        <v>2888</v>
      </c>
      <c r="E76" s="1" t="s">
        <v>2962</v>
      </c>
      <c r="F76" s="1" t="s">
        <v>14</v>
      </c>
      <c r="G76" s="4" t="str">
        <f>"08816"</f>
        <v>08816</v>
      </c>
      <c r="H76" s="1">
        <v>6</v>
      </c>
      <c r="I76" s="1">
        <v>3</v>
      </c>
      <c r="J76" s="1">
        <v>0</v>
      </c>
      <c r="K76" s="1">
        <v>25</v>
      </c>
      <c r="L76" s="1" t="s">
        <v>289</v>
      </c>
      <c r="M76" s="1" t="s">
        <v>2885</v>
      </c>
      <c r="N76" s="1" t="s">
        <v>12</v>
      </c>
      <c r="O76" s="1" t="s">
        <v>2886</v>
      </c>
    </row>
    <row r="77" spans="1:15" x14ac:dyDescent="0.4">
      <c r="A77" s="1" t="s">
        <v>3168</v>
      </c>
      <c r="B77" s="1" t="s">
        <v>3167</v>
      </c>
      <c r="C77" s="1" t="s">
        <v>3171</v>
      </c>
      <c r="D77" s="1" t="s">
        <v>3172</v>
      </c>
      <c r="E77" s="1" t="s">
        <v>4684</v>
      </c>
      <c r="F77" s="1" t="s">
        <v>14</v>
      </c>
      <c r="G77" s="4" t="str">
        <f>"07720-1311"</f>
        <v>07720-1311</v>
      </c>
      <c r="H77" s="1">
        <v>31</v>
      </c>
      <c r="I77" s="1">
        <v>16.100000000000001</v>
      </c>
      <c r="J77" s="1">
        <v>0</v>
      </c>
      <c r="K77" s="1">
        <v>23</v>
      </c>
      <c r="L77" s="1" t="s">
        <v>176</v>
      </c>
      <c r="M77" s="1" t="s">
        <v>3169</v>
      </c>
      <c r="N77" s="1" t="s">
        <v>12</v>
      </c>
      <c r="O77" s="1" t="s">
        <v>3170</v>
      </c>
    </row>
    <row r="78" spans="1:15" x14ac:dyDescent="0.4">
      <c r="A78" s="1" t="s">
        <v>1968</v>
      </c>
      <c r="B78" s="1" t="s">
        <v>1952</v>
      </c>
      <c r="C78" s="1" t="s">
        <v>1970</v>
      </c>
      <c r="D78" s="1" t="s">
        <v>1610</v>
      </c>
      <c r="E78" s="1" t="s">
        <v>4681</v>
      </c>
      <c r="F78" s="1" t="s">
        <v>14</v>
      </c>
      <c r="G78" s="4" t="str">
        <f>"07104-1204"</f>
        <v>07104-1204</v>
      </c>
      <c r="H78" s="1">
        <v>30</v>
      </c>
      <c r="I78" s="1">
        <v>50.8</v>
      </c>
      <c r="J78" s="1">
        <v>0</v>
      </c>
      <c r="K78" s="1">
        <v>10</v>
      </c>
      <c r="L78" s="1" t="s">
        <v>969</v>
      </c>
      <c r="M78" s="1" t="s">
        <v>829</v>
      </c>
      <c r="N78" s="1" t="s">
        <v>12</v>
      </c>
      <c r="O78" s="1" t="s">
        <v>1969</v>
      </c>
    </row>
    <row r="79" spans="1:15" x14ac:dyDescent="0.4">
      <c r="A79" s="1" t="s">
        <v>4665</v>
      </c>
      <c r="B79" s="1" t="s">
        <v>2308</v>
      </c>
      <c r="C79" s="1" t="s">
        <v>4667</v>
      </c>
      <c r="D79" s="1" t="s">
        <v>4630</v>
      </c>
      <c r="E79" s="1" t="s">
        <v>76</v>
      </c>
      <c r="F79" s="1" t="s">
        <v>14</v>
      </c>
      <c r="G79" s="4" t="str">
        <f>"07882-9804"</f>
        <v>07882-9804</v>
      </c>
      <c r="H79" s="1">
        <v>27</v>
      </c>
      <c r="I79" s="1">
        <v>10.3</v>
      </c>
      <c r="J79" s="1">
        <v>0</v>
      </c>
      <c r="K79" s="1">
        <v>55</v>
      </c>
      <c r="L79" s="1" t="s">
        <v>15</v>
      </c>
      <c r="M79" s="1" t="s">
        <v>287</v>
      </c>
      <c r="N79" s="1" t="s">
        <v>12</v>
      </c>
      <c r="O79" s="1" t="s">
        <v>4666</v>
      </c>
    </row>
    <row r="80" spans="1:15" x14ac:dyDescent="0.4">
      <c r="A80" s="1" t="s">
        <v>80</v>
      </c>
      <c r="B80" s="1" t="s">
        <v>79</v>
      </c>
      <c r="C80" s="1" t="s">
        <v>84</v>
      </c>
      <c r="D80" s="1" t="s">
        <v>85</v>
      </c>
      <c r="E80" s="1" t="s">
        <v>4674</v>
      </c>
      <c r="F80" s="1" t="s">
        <v>14</v>
      </c>
      <c r="G80" s="4" t="str">
        <f>"08203"</f>
        <v>08203</v>
      </c>
      <c r="H80" s="1">
        <v>60</v>
      </c>
      <c r="I80" s="1">
        <v>15.8</v>
      </c>
      <c r="J80" s="1">
        <v>0</v>
      </c>
      <c r="K80" s="1">
        <v>33</v>
      </c>
      <c r="L80" s="1" t="s">
        <v>81</v>
      </c>
      <c r="M80" s="1" t="s">
        <v>82</v>
      </c>
      <c r="N80" s="1" t="s">
        <v>12</v>
      </c>
      <c r="O80" s="1" t="s">
        <v>83</v>
      </c>
    </row>
    <row r="81" spans="1:15" x14ac:dyDescent="0.4">
      <c r="A81" s="1" t="s">
        <v>2928</v>
      </c>
      <c r="B81" s="1" t="s">
        <v>2923</v>
      </c>
      <c r="C81" s="1" t="s">
        <v>2930</v>
      </c>
      <c r="D81" s="1" t="s">
        <v>2931</v>
      </c>
      <c r="E81" s="1" t="s">
        <v>2962</v>
      </c>
      <c r="F81" s="1" t="s">
        <v>14</v>
      </c>
      <c r="G81" s="4" t="str">
        <f>"08854-5917"</f>
        <v>08854-5917</v>
      </c>
      <c r="H81" s="1">
        <v>40</v>
      </c>
      <c r="I81" s="1">
        <v>26</v>
      </c>
      <c r="J81" s="1">
        <v>0</v>
      </c>
      <c r="K81" s="1">
        <v>16</v>
      </c>
      <c r="L81" s="1" t="s">
        <v>487</v>
      </c>
      <c r="M81" s="1" t="s">
        <v>1392</v>
      </c>
      <c r="N81" s="1" t="s">
        <v>12</v>
      </c>
      <c r="O81" s="1" t="s">
        <v>2929</v>
      </c>
    </row>
    <row r="82" spans="1:15" x14ac:dyDescent="0.4">
      <c r="A82" s="1" t="s">
        <v>28</v>
      </c>
      <c r="B82" s="1" t="s">
        <v>23</v>
      </c>
      <c r="C82" s="1" t="s">
        <v>32</v>
      </c>
      <c r="D82" s="1" t="s">
        <v>25</v>
      </c>
      <c r="E82" s="1" t="s">
        <v>4674</v>
      </c>
      <c r="F82" s="1" t="s">
        <v>14</v>
      </c>
      <c r="G82" s="4" t="str">
        <f>"08401"</f>
        <v>08401</v>
      </c>
      <c r="H82" s="1">
        <v>73</v>
      </c>
      <c r="I82" s="1">
        <v>24.2</v>
      </c>
      <c r="J82" s="1">
        <v>0</v>
      </c>
      <c r="K82" s="1">
        <v>46</v>
      </c>
      <c r="L82" s="1" t="s">
        <v>29</v>
      </c>
      <c r="M82" s="1" t="s">
        <v>30</v>
      </c>
      <c r="N82" s="1" t="s">
        <v>12</v>
      </c>
      <c r="O82" s="1" t="s">
        <v>31</v>
      </c>
    </row>
    <row r="83" spans="1:15" x14ac:dyDescent="0.4">
      <c r="A83" s="1" t="s">
        <v>2234</v>
      </c>
      <c r="B83" s="1" t="s">
        <v>1712</v>
      </c>
      <c r="C83" s="1" t="s">
        <v>2237</v>
      </c>
      <c r="D83" s="1" t="s">
        <v>2238</v>
      </c>
      <c r="E83" s="1" t="s">
        <v>4677</v>
      </c>
      <c r="F83" s="1" t="s">
        <v>14</v>
      </c>
      <c r="G83" s="4" t="str">
        <f>"08027"</f>
        <v>08027</v>
      </c>
      <c r="H83" s="1">
        <v>50</v>
      </c>
      <c r="I83" s="1">
        <v>17.2</v>
      </c>
      <c r="J83" s="1">
        <v>0</v>
      </c>
      <c r="K83" s="1">
        <v>49</v>
      </c>
      <c r="L83" s="1" t="s">
        <v>1625</v>
      </c>
      <c r="M83" s="1" t="s">
        <v>2235</v>
      </c>
      <c r="N83" s="1" t="s">
        <v>12</v>
      </c>
      <c r="O83" s="1" t="s">
        <v>2236</v>
      </c>
    </row>
    <row r="84" spans="1:15" x14ac:dyDescent="0.4">
      <c r="A84" s="1" t="s">
        <v>3075</v>
      </c>
      <c r="B84" s="1" t="s">
        <v>3074</v>
      </c>
      <c r="C84" s="1" t="s">
        <v>3078</v>
      </c>
      <c r="D84" s="1" t="s">
        <v>3079</v>
      </c>
      <c r="E84" s="1" t="s">
        <v>2962</v>
      </c>
      <c r="F84" s="1" t="s">
        <v>14</v>
      </c>
      <c r="G84" s="4" t="str">
        <f>"08852"</f>
        <v>08852</v>
      </c>
      <c r="H84" s="1">
        <v>1</v>
      </c>
      <c r="I84" s="1">
        <v>0.2</v>
      </c>
      <c r="J84" s="1">
        <v>0</v>
      </c>
      <c r="K84" s="1">
        <v>71</v>
      </c>
      <c r="L84" s="1" t="s">
        <v>1743</v>
      </c>
      <c r="M84" s="1" t="s">
        <v>3076</v>
      </c>
      <c r="N84" s="1" t="s">
        <v>12</v>
      </c>
      <c r="O84" s="1" t="s">
        <v>3077</v>
      </c>
    </row>
    <row r="85" spans="1:15" x14ac:dyDescent="0.4">
      <c r="A85" s="1" t="s">
        <v>1971</v>
      </c>
      <c r="B85" s="1" t="s">
        <v>1952</v>
      </c>
      <c r="C85" s="1" t="s">
        <v>1975</v>
      </c>
      <c r="D85" s="1" t="s">
        <v>1610</v>
      </c>
      <c r="E85" s="1" t="s">
        <v>4681</v>
      </c>
      <c r="F85" s="1" t="s">
        <v>14</v>
      </c>
      <c r="G85" s="4" t="str">
        <f>"07112-1563"</f>
        <v>07112-1563</v>
      </c>
      <c r="H85" s="1">
        <v>1</v>
      </c>
      <c r="I85" s="1">
        <v>2.9</v>
      </c>
      <c r="J85" s="1">
        <v>0</v>
      </c>
      <c r="K85" s="1">
        <v>1</v>
      </c>
      <c r="L85" s="1" t="s">
        <v>1972</v>
      </c>
      <c r="M85" s="1" t="s">
        <v>1973</v>
      </c>
      <c r="N85" s="1" t="s">
        <v>12</v>
      </c>
      <c r="O85" s="1" t="s">
        <v>1974</v>
      </c>
    </row>
    <row r="86" spans="1:15" x14ac:dyDescent="0.4">
      <c r="A86" s="1" t="s">
        <v>3080</v>
      </c>
      <c r="B86" s="1" t="s">
        <v>3074</v>
      </c>
      <c r="C86" s="1" t="s">
        <v>3083</v>
      </c>
      <c r="D86" s="1" t="s">
        <v>3084</v>
      </c>
      <c r="E86" s="1" t="s">
        <v>2962</v>
      </c>
      <c r="F86" s="1" t="s">
        <v>14</v>
      </c>
      <c r="G86" s="4" t="str">
        <f>"08824"</f>
        <v>08824</v>
      </c>
      <c r="H86" s="1">
        <v>43</v>
      </c>
      <c r="I86" s="1">
        <v>9.6</v>
      </c>
      <c r="J86" s="1">
        <v>0</v>
      </c>
      <c r="K86" s="1">
        <v>51</v>
      </c>
      <c r="L86" s="1" t="s">
        <v>794</v>
      </c>
      <c r="M86" s="1" t="s">
        <v>3081</v>
      </c>
      <c r="N86" s="1" t="s">
        <v>12</v>
      </c>
      <c r="O86" s="1" t="s">
        <v>3082</v>
      </c>
    </row>
    <row r="87" spans="1:15" x14ac:dyDescent="0.4">
      <c r="A87" s="1" t="s">
        <v>1929</v>
      </c>
      <c r="B87" s="1" t="s">
        <v>1928</v>
      </c>
      <c r="C87" s="1" t="s">
        <v>1932</v>
      </c>
      <c r="D87" s="1" t="s">
        <v>1933</v>
      </c>
      <c r="E87" s="1" t="s">
        <v>4681</v>
      </c>
      <c r="F87" s="1" t="s">
        <v>14</v>
      </c>
      <c r="G87" s="4" t="str">
        <f>"07039"</f>
        <v>07039</v>
      </c>
      <c r="H87" s="1">
        <v>43</v>
      </c>
      <c r="I87" s="1">
        <v>10.1</v>
      </c>
      <c r="J87" s="1">
        <v>0</v>
      </c>
      <c r="K87" s="1">
        <v>53</v>
      </c>
      <c r="L87" s="1" t="s">
        <v>165</v>
      </c>
      <c r="M87" s="1" t="s">
        <v>1930</v>
      </c>
      <c r="N87" s="1" t="s">
        <v>12</v>
      </c>
      <c r="O87" s="1" t="s">
        <v>1931</v>
      </c>
    </row>
    <row r="88" spans="1:15" x14ac:dyDescent="0.4">
      <c r="A88" s="1" t="s">
        <v>4248</v>
      </c>
      <c r="B88" s="1" t="s">
        <v>4246</v>
      </c>
      <c r="C88" s="1" t="s">
        <v>4250</v>
      </c>
      <c r="D88" s="1" t="s">
        <v>4247</v>
      </c>
      <c r="E88" s="1" t="s">
        <v>4687</v>
      </c>
      <c r="F88" s="1" t="s">
        <v>14</v>
      </c>
      <c r="G88" s="4" t="str">
        <f>"07874"</f>
        <v>07874</v>
      </c>
      <c r="H88" s="1">
        <v>2</v>
      </c>
      <c r="I88" s="1">
        <v>0.5</v>
      </c>
      <c r="J88" s="1">
        <v>0</v>
      </c>
      <c r="K88" s="1">
        <v>82</v>
      </c>
      <c r="L88" s="1" t="s">
        <v>399</v>
      </c>
      <c r="M88" s="1" t="s">
        <v>1033</v>
      </c>
      <c r="N88" s="1" t="s">
        <v>12</v>
      </c>
      <c r="O88" s="1" t="s">
        <v>4249</v>
      </c>
    </row>
    <row r="89" spans="1:15" x14ac:dyDescent="0.4">
      <c r="A89" s="1" t="s">
        <v>2617</v>
      </c>
      <c r="B89" s="1" t="s">
        <v>2616</v>
      </c>
      <c r="C89" s="1" t="s">
        <v>2620</v>
      </c>
      <c r="D89" s="1" t="s">
        <v>2621</v>
      </c>
      <c r="E89" s="1" t="s">
        <v>4682</v>
      </c>
      <c r="F89" s="1" t="s">
        <v>14</v>
      </c>
      <c r="G89" s="4" t="str">
        <f>"07830-9044"</f>
        <v>07830-9044</v>
      </c>
      <c r="H89" s="1">
        <v>12</v>
      </c>
      <c r="I89" s="1">
        <v>12.8</v>
      </c>
      <c r="J89" s="1">
        <v>0</v>
      </c>
      <c r="K89" s="1">
        <v>13</v>
      </c>
      <c r="L89" s="1" t="s">
        <v>405</v>
      </c>
      <c r="M89" s="1" t="s">
        <v>2618</v>
      </c>
      <c r="N89" s="1" t="s">
        <v>134</v>
      </c>
      <c r="O89" s="1" t="s">
        <v>2619</v>
      </c>
    </row>
    <row r="90" spans="1:15" x14ac:dyDescent="0.4">
      <c r="A90" s="1" t="s">
        <v>3293</v>
      </c>
      <c r="B90" s="1" t="s">
        <v>3292</v>
      </c>
      <c r="C90" s="1" t="s">
        <v>3296</v>
      </c>
      <c r="D90" s="1" t="s">
        <v>3297</v>
      </c>
      <c r="E90" s="1" t="s">
        <v>4684</v>
      </c>
      <c r="F90" s="1" t="s">
        <v>14</v>
      </c>
      <c r="G90" s="4" t="str">
        <f>"07747"</f>
        <v>07747</v>
      </c>
      <c r="H90" s="1">
        <v>240</v>
      </c>
      <c r="I90" s="1">
        <v>83.9</v>
      </c>
      <c r="J90" s="1">
        <v>0</v>
      </c>
      <c r="K90" s="1">
        <v>45</v>
      </c>
      <c r="L90" s="1" t="s">
        <v>26</v>
      </c>
      <c r="M90" s="1" t="s">
        <v>3294</v>
      </c>
      <c r="N90" s="1" t="s">
        <v>12</v>
      </c>
      <c r="O90" s="1" t="s">
        <v>3295</v>
      </c>
    </row>
    <row r="91" spans="1:15" x14ac:dyDescent="0.4">
      <c r="A91" s="1" t="s">
        <v>1976</v>
      </c>
      <c r="B91" s="1" t="s">
        <v>1952</v>
      </c>
      <c r="C91" s="1" t="s">
        <v>1979</v>
      </c>
      <c r="D91" s="1" t="s">
        <v>1610</v>
      </c>
      <c r="E91" s="1" t="s">
        <v>4681</v>
      </c>
      <c r="F91" s="1" t="s">
        <v>14</v>
      </c>
      <c r="G91" s="4" t="str">
        <f>"07103-2635"</f>
        <v>07103-2635</v>
      </c>
      <c r="H91" s="1">
        <v>117</v>
      </c>
      <c r="I91" s="1">
        <v>17.100000000000001</v>
      </c>
      <c r="J91" s="1">
        <v>0</v>
      </c>
      <c r="K91" s="1">
        <v>74</v>
      </c>
      <c r="L91" s="1" t="s">
        <v>1250</v>
      </c>
      <c r="M91" s="1" t="s">
        <v>1977</v>
      </c>
      <c r="N91" s="1" t="s">
        <v>12</v>
      </c>
      <c r="O91" s="1" t="s">
        <v>1978</v>
      </c>
    </row>
    <row r="92" spans="1:15" x14ac:dyDescent="0.4">
      <c r="A92" s="1" t="s">
        <v>4693</v>
      </c>
      <c r="B92" s="1" t="s">
        <v>4693</v>
      </c>
      <c r="C92" s="1" t="s">
        <v>1596</v>
      </c>
      <c r="D92" s="1" t="s">
        <v>1271</v>
      </c>
      <c r="E92" s="1" t="s">
        <v>4679</v>
      </c>
      <c r="F92" s="1" t="s">
        <v>14</v>
      </c>
      <c r="G92" s="4" t="str">
        <f>"08105"</f>
        <v>08105</v>
      </c>
      <c r="H92" s="1">
        <v>60</v>
      </c>
      <c r="I92" s="1">
        <v>2.4</v>
      </c>
      <c r="J92" s="1">
        <v>0</v>
      </c>
      <c r="K92" s="1">
        <v>180</v>
      </c>
      <c r="L92" s="1" t="s">
        <v>77</v>
      </c>
      <c r="M92" s="1" t="s">
        <v>1594</v>
      </c>
      <c r="N92" s="1" t="s">
        <v>1294</v>
      </c>
      <c r="O92" s="1" t="s">
        <v>1595</v>
      </c>
    </row>
    <row r="93" spans="1:15" x14ac:dyDescent="0.4">
      <c r="A93" s="1" t="s">
        <v>3532</v>
      </c>
      <c r="B93" s="1" t="s">
        <v>3531</v>
      </c>
      <c r="C93" s="1" t="s">
        <v>3535</v>
      </c>
      <c r="D93" s="1" t="s">
        <v>3536</v>
      </c>
      <c r="E93" s="1" t="s">
        <v>1033</v>
      </c>
      <c r="F93" s="1" t="s">
        <v>14</v>
      </c>
      <c r="G93" s="4" t="str">
        <f>"07803"</f>
        <v>07803</v>
      </c>
      <c r="H93" s="1">
        <v>38</v>
      </c>
      <c r="I93" s="1">
        <v>9.9</v>
      </c>
      <c r="J93" s="1">
        <v>0</v>
      </c>
      <c r="K93" s="1">
        <v>57</v>
      </c>
      <c r="L93" s="1" t="s">
        <v>741</v>
      </c>
      <c r="M93" s="1" t="s">
        <v>3533</v>
      </c>
      <c r="N93" s="1" t="s">
        <v>12</v>
      </c>
      <c r="O93" s="1" t="s">
        <v>3534</v>
      </c>
    </row>
    <row r="94" spans="1:15" x14ac:dyDescent="0.4">
      <c r="A94" s="1" t="s">
        <v>1512</v>
      </c>
      <c r="B94" s="1" t="s">
        <v>1511</v>
      </c>
      <c r="C94" s="1" t="s">
        <v>1516</v>
      </c>
      <c r="D94" s="1" t="s">
        <v>1504</v>
      </c>
      <c r="E94" s="1" t="s">
        <v>4678</v>
      </c>
      <c r="F94" s="1" t="s">
        <v>14</v>
      </c>
      <c r="G94" s="4" t="str">
        <f>"08204-1646"</f>
        <v>08204-1646</v>
      </c>
      <c r="H94" s="1">
        <v>42</v>
      </c>
      <c r="I94" s="1">
        <v>27.5</v>
      </c>
      <c r="J94" s="1">
        <v>0</v>
      </c>
      <c r="K94" s="1">
        <v>20</v>
      </c>
      <c r="L94" s="1" t="s">
        <v>1513</v>
      </c>
      <c r="M94" s="1" t="s">
        <v>1514</v>
      </c>
      <c r="N94" s="1" t="s">
        <v>134</v>
      </c>
      <c r="O94" s="1" t="s">
        <v>1515</v>
      </c>
    </row>
    <row r="95" spans="1:15" x14ac:dyDescent="0.4">
      <c r="A95" s="1" t="s">
        <v>1530</v>
      </c>
      <c r="B95" s="1" t="s">
        <v>1529</v>
      </c>
      <c r="C95" s="1" t="s">
        <v>1533</v>
      </c>
      <c r="D95" s="1" t="s">
        <v>1504</v>
      </c>
      <c r="E95" s="1" t="s">
        <v>4678</v>
      </c>
      <c r="F95" s="1" t="s">
        <v>14</v>
      </c>
      <c r="G95" s="4" t="str">
        <f>"08204-4650"</f>
        <v>08204-4650</v>
      </c>
      <c r="H95" s="1">
        <v>105</v>
      </c>
      <c r="I95" s="1">
        <v>24.5</v>
      </c>
      <c r="J95" s="1">
        <v>0</v>
      </c>
      <c r="K95" s="1">
        <v>0</v>
      </c>
      <c r="L95" s="1" t="s">
        <v>126</v>
      </c>
      <c r="M95" s="1" t="s">
        <v>1531</v>
      </c>
      <c r="N95" s="1" t="s">
        <v>12</v>
      </c>
      <c r="O95" s="1" t="s">
        <v>1532</v>
      </c>
    </row>
    <row r="96" spans="1:15" x14ac:dyDescent="0.4">
      <c r="A96" s="1" t="s">
        <v>348</v>
      </c>
      <c r="B96" s="1" t="s">
        <v>347</v>
      </c>
      <c r="C96" s="1" t="s">
        <v>351</v>
      </c>
      <c r="D96" s="1" t="s">
        <v>352</v>
      </c>
      <c r="E96" s="1" t="s">
        <v>4675</v>
      </c>
      <c r="F96" s="1" t="s">
        <v>14</v>
      </c>
      <c r="G96" s="4" t="str">
        <f>"07072"</f>
        <v>07072</v>
      </c>
      <c r="H96" s="1">
        <v>18</v>
      </c>
      <c r="I96" s="1">
        <v>3.8</v>
      </c>
      <c r="J96" s="1">
        <v>0</v>
      </c>
      <c r="K96" s="1">
        <v>49</v>
      </c>
      <c r="L96" s="1" t="s">
        <v>26</v>
      </c>
      <c r="M96" s="1" t="s">
        <v>349</v>
      </c>
      <c r="N96" s="1" t="s">
        <v>12</v>
      </c>
      <c r="O96" s="1" t="s">
        <v>350</v>
      </c>
    </row>
    <row r="97" spans="1:15" x14ac:dyDescent="0.4">
      <c r="A97" s="1" t="s">
        <v>1757</v>
      </c>
      <c r="B97" s="1" t="s">
        <v>1756</v>
      </c>
      <c r="C97" s="1" t="s">
        <v>1760</v>
      </c>
      <c r="D97" s="1" t="s">
        <v>1681</v>
      </c>
      <c r="E97" s="1" t="s">
        <v>4680</v>
      </c>
      <c r="F97" s="1" t="s">
        <v>14</v>
      </c>
      <c r="G97" s="4" t="str">
        <f>"08360-4625"</f>
        <v>08360-4625</v>
      </c>
      <c r="H97" s="1">
        <v>341</v>
      </c>
      <c r="I97" s="1">
        <v>100</v>
      </c>
      <c r="J97" s="1">
        <v>0</v>
      </c>
      <c r="K97" s="1">
        <v>0</v>
      </c>
      <c r="L97" s="1" t="s">
        <v>199</v>
      </c>
      <c r="M97" s="1" t="s">
        <v>1758</v>
      </c>
      <c r="N97" s="1" t="s">
        <v>12</v>
      </c>
      <c r="O97" s="1" t="s">
        <v>1759</v>
      </c>
    </row>
    <row r="98" spans="1:15" x14ac:dyDescent="0.4">
      <c r="A98" s="1" t="s">
        <v>928</v>
      </c>
      <c r="B98" s="1" t="s">
        <v>927</v>
      </c>
      <c r="C98" s="1" t="s">
        <v>930</v>
      </c>
      <c r="D98" s="1" t="s">
        <v>931</v>
      </c>
      <c r="E98" s="1" t="s">
        <v>4675</v>
      </c>
      <c r="F98" s="1" t="s">
        <v>14</v>
      </c>
      <c r="G98" s="4" t="str">
        <f>"07075-1510"</f>
        <v>07075-1510</v>
      </c>
      <c r="H98" s="1">
        <v>18</v>
      </c>
      <c r="I98" s="1">
        <v>3.8</v>
      </c>
      <c r="J98" s="1">
        <v>0</v>
      </c>
      <c r="K98" s="1">
        <v>115</v>
      </c>
      <c r="L98" s="1" t="s">
        <v>821</v>
      </c>
      <c r="M98" s="1" t="s">
        <v>356</v>
      </c>
      <c r="N98" s="1" t="s">
        <v>12</v>
      </c>
      <c r="O98" s="1" t="s">
        <v>929</v>
      </c>
    </row>
    <row r="99" spans="1:15" x14ac:dyDescent="0.4">
      <c r="A99" s="1" t="s">
        <v>3832</v>
      </c>
      <c r="B99" s="1" t="s">
        <v>3831</v>
      </c>
      <c r="C99" s="1" t="s">
        <v>3835</v>
      </c>
      <c r="D99" s="1" t="s">
        <v>3783</v>
      </c>
      <c r="E99" s="1" t="s">
        <v>4685</v>
      </c>
      <c r="F99" s="1" t="s">
        <v>14</v>
      </c>
      <c r="G99" s="4" t="str">
        <f>"08753-4399"</f>
        <v>08753-4399</v>
      </c>
      <c r="H99" s="1">
        <v>79</v>
      </c>
      <c r="I99" s="1">
        <v>8.5</v>
      </c>
      <c r="J99" s="1">
        <v>0</v>
      </c>
      <c r="K99" s="1">
        <v>106</v>
      </c>
      <c r="L99" s="1" t="s">
        <v>794</v>
      </c>
      <c r="M99" s="1" t="s">
        <v>3833</v>
      </c>
      <c r="N99" s="1" t="s">
        <v>12</v>
      </c>
      <c r="O99" s="1" t="s">
        <v>3834</v>
      </c>
    </row>
    <row r="100" spans="1:15" x14ac:dyDescent="0.4">
      <c r="A100" s="1" t="s">
        <v>2932</v>
      </c>
      <c r="B100" s="1" t="s">
        <v>2923</v>
      </c>
      <c r="C100" s="1" t="s">
        <v>2935</v>
      </c>
      <c r="D100" s="1" t="s">
        <v>2936</v>
      </c>
      <c r="E100" s="1" t="s">
        <v>2962</v>
      </c>
      <c r="F100" s="1" t="s">
        <v>14</v>
      </c>
      <c r="G100" s="4" t="str">
        <f>"08859"</f>
        <v>08859</v>
      </c>
      <c r="H100" s="1">
        <v>9</v>
      </c>
      <c r="I100" s="1">
        <v>4.9000000000000004</v>
      </c>
      <c r="J100" s="1">
        <v>0</v>
      </c>
      <c r="K100" s="1">
        <v>10</v>
      </c>
      <c r="L100" s="1" t="s">
        <v>2933</v>
      </c>
      <c r="M100" s="1" t="s">
        <v>2747</v>
      </c>
      <c r="N100" s="1" t="s">
        <v>12</v>
      </c>
      <c r="O100" s="1" t="s">
        <v>2934</v>
      </c>
    </row>
    <row r="101" spans="1:15" x14ac:dyDescent="0.4">
      <c r="A101" s="1" t="s">
        <v>3591</v>
      </c>
      <c r="B101" s="1" t="s">
        <v>3590</v>
      </c>
      <c r="C101" s="1" t="s">
        <v>3594</v>
      </c>
      <c r="D101" s="1" t="s">
        <v>3595</v>
      </c>
      <c r="E101" s="1" t="s">
        <v>1033</v>
      </c>
      <c r="F101" s="1" t="s">
        <v>14</v>
      </c>
      <c r="G101" s="4" t="str">
        <f>"07869"</f>
        <v>07869</v>
      </c>
      <c r="H101" s="1">
        <v>8</v>
      </c>
      <c r="I101" s="1">
        <v>1.5</v>
      </c>
      <c r="J101" s="1">
        <v>0</v>
      </c>
      <c r="K101" s="1">
        <v>74</v>
      </c>
      <c r="L101" s="1" t="s">
        <v>1578</v>
      </c>
      <c r="M101" s="1" t="s">
        <v>3592</v>
      </c>
      <c r="N101" s="1" t="s">
        <v>12</v>
      </c>
      <c r="O101" s="1" t="s">
        <v>3593</v>
      </c>
    </row>
    <row r="102" spans="1:15" x14ac:dyDescent="0.4">
      <c r="A102" s="1" t="s">
        <v>3515</v>
      </c>
      <c r="B102" s="1" t="s">
        <v>3514</v>
      </c>
      <c r="C102" s="1" t="s">
        <v>3518</v>
      </c>
      <c r="D102" s="1" t="s">
        <v>3519</v>
      </c>
      <c r="E102" s="1" t="s">
        <v>1033</v>
      </c>
      <c r="F102" s="1" t="s">
        <v>14</v>
      </c>
      <c r="G102" s="4" t="str">
        <f>"07940"</f>
        <v>07940</v>
      </c>
      <c r="H102" s="1">
        <v>14</v>
      </c>
      <c r="I102" s="1">
        <v>2.8</v>
      </c>
      <c r="J102" s="1">
        <v>0</v>
      </c>
      <c r="K102" s="1">
        <v>72</v>
      </c>
      <c r="L102" s="1" t="s">
        <v>47</v>
      </c>
      <c r="M102" s="1" t="s">
        <v>3516</v>
      </c>
      <c r="N102" s="1" t="s">
        <v>12</v>
      </c>
      <c r="O102" s="1" t="s">
        <v>3517</v>
      </c>
    </row>
    <row r="103" spans="1:15" x14ac:dyDescent="0.4">
      <c r="A103" s="1" t="s">
        <v>2199</v>
      </c>
      <c r="B103" s="1" t="s">
        <v>2198</v>
      </c>
      <c r="C103" s="1" t="s">
        <v>2202</v>
      </c>
      <c r="D103" s="1" t="s">
        <v>2203</v>
      </c>
      <c r="E103" s="1" t="s">
        <v>4677</v>
      </c>
      <c r="F103" s="1" t="s">
        <v>14</v>
      </c>
      <c r="G103" s="4" t="str">
        <f>"08096"</f>
        <v>08096</v>
      </c>
      <c r="H103" s="1">
        <v>310</v>
      </c>
      <c r="I103" s="1">
        <v>100</v>
      </c>
      <c r="J103" s="1">
        <v>0</v>
      </c>
      <c r="K103" s="1">
        <v>0</v>
      </c>
      <c r="L103" s="1" t="s">
        <v>2200</v>
      </c>
      <c r="M103" s="1" t="s">
        <v>206</v>
      </c>
      <c r="N103" s="1" t="s">
        <v>12</v>
      </c>
      <c r="O103" s="1" t="s">
        <v>2201</v>
      </c>
    </row>
    <row r="104" spans="1:15" x14ac:dyDescent="0.4">
      <c r="A104" s="1" t="s">
        <v>530</v>
      </c>
      <c r="B104" s="1" t="s">
        <v>528</v>
      </c>
      <c r="C104" s="1" t="s">
        <v>533</v>
      </c>
      <c r="D104" s="1" t="s">
        <v>529</v>
      </c>
      <c r="E104" s="1" t="s">
        <v>4675</v>
      </c>
      <c r="F104" s="1" t="s">
        <v>14</v>
      </c>
      <c r="G104" s="4" t="str">
        <f>"07452-1821"</f>
        <v>07452-1821</v>
      </c>
      <c r="H104" s="1">
        <v>5</v>
      </c>
      <c r="I104" s="1">
        <v>1.7</v>
      </c>
      <c r="J104" s="1">
        <v>0</v>
      </c>
      <c r="K104" s="1">
        <v>38</v>
      </c>
      <c r="L104" s="1" t="s">
        <v>274</v>
      </c>
      <c r="M104" s="1" t="s">
        <v>531</v>
      </c>
      <c r="N104" s="1" t="s">
        <v>12</v>
      </c>
      <c r="O104" s="1" t="s">
        <v>532</v>
      </c>
    </row>
    <row r="105" spans="1:15" x14ac:dyDescent="0.4">
      <c r="A105" s="1" t="s">
        <v>530</v>
      </c>
      <c r="B105" s="1" t="s">
        <v>1384</v>
      </c>
      <c r="C105" s="1" t="s">
        <v>1387</v>
      </c>
      <c r="D105" s="1" t="s">
        <v>1224</v>
      </c>
      <c r="E105" s="1" t="s">
        <v>4675</v>
      </c>
      <c r="F105" s="1" t="s">
        <v>14</v>
      </c>
      <c r="G105" s="4" t="str">
        <f>"08033"</f>
        <v>08033</v>
      </c>
      <c r="H105" s="1">
        <v>5</v>
      </c>
      <c r="I105" s="1">
        <v>1.7</v>
      </c>
      <c r="J105" s="1">
        <v>0</v>
      </c>
      <c r="K105" s="1">
        <v>38</v>
      </c>
      <c r="L105" s="1" t="s">
        <v>1053</v>
      </c>
      <c r="M105" s="1" t="s">
        <v>1385</v>
      </c>
      <c r="N105" s="1" t="s">
        <v>12</v>
      </c>
      <c r="O105" s="1" t="s">
        <v>1386</v>
      </c>
    </row>
    <row r="106" spans="1:15" x14ac:dyDescent="0.4">
      <c r="A106" s="1" t="s">
        <v>530</v>
      </c>
      <c r="B106" s="1" t="s">
        <v>1888</v>
      </c>
      <c r="C106" s="1" t="s">
        <v>1891</v>
      </c>
      <c r="D106" s="1" t="s">
        <v>1892</v>
      </c>
      <c r="E106" s="1" t="s">
        <v>4675</v>
      </c>
      <c r="F106" s="1" t="s">
        <v>14</v>
      </c>
      <c r="G106" s="4" t="str">
        <f>"07028"</f>
        <v>07028</v>
      </c>
      <c r="H106" s="1">
        <v>5</v>
      </c>
      <c r="I106" s="1">
        <v>1.7</v>
      </c>
      <c r="J106" s="1">
        <v>0</v>
      </c>
      <c r="K106" s="1">
        <v>38</v>
      </c>
      <c r="L106" s="1" t="s">
        <v>1889</v>
      </c>
      <c r="M106" s="1" t="s">
        <v>1301</v>
      </c>
      <c r="N106" s="1" t="s">
        <v>12</v>
      </c>
      <c r="O106" s="1" t="s">
        <v>1890</v>
      </c>
    </row>
    <row r="107" spans="1:15" x14ac:dyDescent="0.4">
      <c r="A107" s="1" t="s">
        <v>530</v>
      </c>
      <c r="B107" s="1" t="s">
        <v>4223</v>
      </c>
      <c r="C107" s="1" t="s">
        <v>4226</v>
      </c>
      <c r="D107" s="1" t="s">
        <v>76</v>
      </c>
      <c r="E107" s="1" t="s">
        <v>4675</v>
      </c>
      <c r="F107" s="1" t="s">
        <v>14</v>
      </c>
      <c r="G107" s="4" t="str">
        <f>"07059"</f>
        <v>07059</v>
      </c>
      <c r="H107" s="1">
        <v>5</v>
      </c>
      <c r="I107" s="1">
        <v>1.7</v>
      </c>
      <c r="J107" s="1">
        <v>0</v>
      </c>
      <c r="K107" s="1">
        <v>38</v>
      </c>
      <c r="L107" s="1" t="s">
        <v>1305</v>
      </c>
      <c r="M107" s="1" t="s">
        <v>4224</v>
      </c>
      <c r="N107" s="1" t="s">
        <v>12</v>
      </c>
      <c r="O107" s="1" t="s">
        <v>4225</v>
      </c>
    </row>
    <row r="108" spans="1:15" x14ac:dyDescent="0.4">
      <c r="A108" s="1" t="s">
        <v>1080</v>
      </c>
      <c r="B108" s="1" t="s">
        <v>1079</v>
      </c>
      <c r="C108" s="1" t="s">
        <v>1083</v>
      </c>
      <c r="D108" s="1" t="s">
        <v>1054</v>
      </c>
      <c r="E108" s="1" t="s">
        <v>4676</v>
      </c>
      <c r="F108" s="1" t="s">
        <v>14</v>
      </c>
      <c r="G108" s="4" t="str">
        <f>"08055"</f>
        <v>08055</v>
      </c>
      <c r="H108" s="1">
        <v>28</v>
      </c>
      <c r="I108" s="1">
        <v>6.4</v>
      </c>
      <c r="J108" s="1">
        <v>0</v>
      </c>
      <c r="K108" s="1">
        <v>59</v>
      </c>
      <c r="L108" s="1" t="s">
        <v>56</v>
      </c>
      <c r="M108" s="1" t="s">
        <v>1081</v>
      </c>
      <c r="N108" s="1" t="s">
        <v>12</v>
      </c>
      <c r="O108" s="1" t="s">
        <v>1082</v>
      </c>
    </row>
    <row r="109" spans="1:15" x14ac:dyDescent="0.4">
      <c r="A109" s="1" t="s">
        <v>1980</v>
      </c>
      <c r="B109" s="1" t="s">
        <v>1952</v>
      </c>
      <c r="C109" s="1" t="s">
        <v>1984</v>
      </c>
      <c r="D109" s="1" t="s">
        <v>1610</v>
      </c>
      <c r="E109" s="1" t="s">
        <v>4681</v>
      </c>
      <c r="F109" s="1" t="s">
        <v>14</v>
      </c>
      <c r="G109" s="4" t="str">
        <f>"07112-1201"</f>
        <v>07112-1201</v>
      </c>
      <c r="H109" s="1">
        <v>142</v>
      </c>
      <c r="I109" s="1">
        <v>23.4</v>
      </c>
      <c r="J109" s="1">
        <v>0</v>
      </c>
      <c r="K109" s="1">
        <v>61</v>
      </c>
      <c r="L109" s="1" t="s">
        <v>1981</v>
      </c>
      <c r="M109" s="1" t="s">
        <v>1982</v>
      </c>
      <c r="N109" s="1" t="s">
        <v>867</v>
      </c>
      <c r="O109" s="1" t="s">
        <v>1983</v>
      </c>
    </row>
    <row r="110" spans="1:15" x14ac:dyDescent="0.4">
      <c r="A110" s="1" t="s">
        <v>2427</v>
      </c>
      <c r="B110" s="1" t="s">
        <v>2416</v>
      </c>
      <c r="C110" s="1" t="s">
        <v>2429</v>
      </c>
      <c r="D110" s="1" t="s">
        <v>1624</v>
      </c>
      <c r="E110" s="1" t="s">
        <v>2239</v>
      </c>
      <c r="F110" s="1" t="s">
        <v>14</v>
      </c>
      <c r="G110" s="4" t="str">
        <f>"07304-1424"</f>
        <v>07304-1424</v>
      </c>
      <c r="H110" s="1">
        <v>45</v>
      </c>
      <c r="I110" s="1">
        <v>7.7</v>
      </c>
      <c r="J110" s="1">
        <v>0</v>
      </c>
      <c r="K110" s="1">
        <v>39</v>
      </c>
      <c r="L110" s="1" t="s">
        <v>153</v>
      </c>
      <c r="M110" s="1" t="s">
        <v>1793</v>
      </c>
      <c r="N110" s="1" t="s">
        <v>12</v>
      </c>
      <c r="O110" s="1" t="s">
        <v>2428</v>
      </c>
    </row>
    <row r="111" spans="1:15" x14ac:dyDescent="0.4">
      <c r="A111" s="1" t="s">
        <v>2430</v>
      </c>
      <c r="B111" s="1" t="s">
        <v>2416</v>
      </c>
      <c r="C111" s="1" t="s">
        <v>2433</v>
      </c>
      <c r="D111" s="1" t="s">
        <v>1624</v>
      </c>
      <c r="E111" s="1" t="s">
        <v>2239</v>
      </c>
      <c r="F111" s="1" t="s">
        <v>14</v>
      </c>
      <c r="G111" s="4" t="str">
        <f>"07307"</f>
        <v>07307</v>
      </c>
      <c r="H111" s="1">
        <v>74</v>
      </c>
      <c r="I111" s="1">
        <v>11.1</v>
      </c>
      <c r="J111" s="1">
        <v>0</v>
      </c>
      <c r="K111" s="1">
        <v>93</v>
      </c>
      <c r="L111" s="1" t="s">
        <v>1265</v>
      </c>
      <c r="M111" s="1" t="s">
        <v>2431</v>
      </c>
      <c r="N111" s="1" t="s">
        <v>12</v>
      </c>
      <c r="O111" s="1" t="s">
        <v>2432</v>
      </c>
    </row>
    <row r="112" spans="1:15" x14ac:dyDescent="0.4">
      <c r="A112" s="1" t="s">
        <v>1749</v>
      </c>
      <c r="B112" s="1" t="s">
        <v>1748</v>
      </c>
      <c r="C112" s="1" t="s">
        <v>1752</v>
      </c>
      <c r="D112" s="1" t="s">
        <v>1753</v>
      </c>
      <c r="E112" s="1" t="s">
        <v>4680</v>
      </c>
      <c r="F112" s="1" t="s">
        <v>14</v>
      </c>
      <c r="G112" s="4" t="str">
        <f>"08302-4261"</f>
        <v>08302-4261</v>
      </c>
      <c r="H112" s="1">
        <v>144</v>
      </c>
      <c r="I112" s="1">
        <v>34.9</v>
      </c>
      <c r="J112" s="1">
        <v>0</v>
      </c>
      <c r="K112" s="1">
        <v>87</v>
      </c>
      <c r="L112" s="1" t="s">
        <v>165</v>
      </c>
      <c r="M112" s="1" t="s">
        <v>1750</v>
      </c>
      <c r="N112" s="1" t="s">
        <v>12</v>
      </c>
      <c r="O112" s="1" t="s">
        <v>1751</v>
      </c>
    </row>
    <row r="113" spans="1:15" x14ac:dyDescent="0.4">
      <c r="A113" s="1" t="s">
        <v>3947</v>
      </c>
      <c r="B113" s="1" t="s">
        <v>3941</v>
      </c>
      <c r="C113" s="1" t="s">
        <v>3951</v>
      </c>
      <c r="D113" s="1" t="s">
        <v>1591</v>
      </c>
      <c r="E113" s="1" t="s">
        <v>1651</v>
      </c>
      <c r="F113" s="1" t="s">
        <v>14</v>
      </c>
      <c r="G113" s="4" t="str">
        <f>"07503"</f>
        <v>07503</v>
      </c>
      <c r="H113" s="1">
        <v>29</v>
      </c>
      <c r="I113" s="1">
        <v>4.3</v>
      </c>
      <c r="J113" s="1">
        <v>0</v>
      </c>
      <c r="K113" s="1">
        <v>52</v>
      </c>
      <c r="L113" s="1" t="s">
        <v>3948</v>
      </c>
      <c r="M113" s="1" t="s">
        <v>3949</v>
      </c>
      <c r="N113" s="1" t="s">
        <v>12</v>
      </c>
      <c r="O113" s="1" t="s">
        <v>3950</v>
      </c>
    </row>
    <row r="114" spans="1:15" x14ac:dyDescent="0.4">
      <c r="A114" s="1" t="s">
        <v>102</v>
      </c>
      <c r="B114" s="1" t="s">
        <v>101</v>
      </c>
      <c r="C114" s="1" t="s">
        <v>107</v>
      </c>
      <c r="D114" s="1" t="s">
        <v>108</v>
      </c>
      <c r="E114" s="1" t="s">
        <v>4674</v>
      </c>
      <c r="F114" s="1" t="s">
        <v>14</v>
      </c>
      <c r="G114" s="4" t="str">
        <f>"08215-2105"</f>
        <v>08215-2105</v>
      </c>
      <c r="H114" s="1">
        <v>65</v>
      </c>
      <c r="I114" s="1">
        <v>22.8</v>
      </c>
      <c r="J114" s="1">
        <v>0</v>
      </c>
      <c r="K114" s="1">
        <v>51</v>
      </c>
      <c r="L114" s="1" t="s">
        <v>103</v>
      </c>
      <c r="M114" s="1" t="s">
        <v>104</v>
      </c>
      <c r="N114" s="1" t="s">
        <v>105</v>
      </c>
      <c r="O114" s="1" t="s">
        <v>106</v>
      </c>
    </row>
    <row r="115" spans="1:15" x14ac:dyDescent="0.4">
      <c r="A115" s="1" t="s">
        <v>4038</v>
      </c>
      <c r="B115" s="1" t="s">
        <v>4036</v>
      </c>
      <c r="C115" s="1" t="s">
        <v>4041</v>
      </c>
      <c r="D115" s="1" t="s">
        <v>4037</v>
      </c>
      <c r="E115" s="1" t="s">
        <v>1651</v>
      </c>
      <c r="F115" s="1" t="s">
        <v>14</v>
      </c>
      <c r="G115" s="4" t="str">
        <f>"07424"</f>
        <v>07424</v>
      </c>
      <c r="H115" s="1">
        <v>43</v>
      </c>
      <c r="I115" s="1">
        <v>10.6</v>
      </c>
      <c r="J115" s="1">
        <v>0</v>
      </c>
      <c r="K115" s="1">
        <v>120</v>
      </c>
      <c r="L115" s="1" t="s">
        <v>805</v>
      </c>
      <c r="M115" s="1" t="s">
        <v>4039</v>
      </c>
      <c r="N115" s="1" t="s">
        <v>12</v>
      </c>
      <c r="O115" s="1" t="s">
        <v>4040</v>
      </c>
    </row>
    <row r="116" spans="1:15" x14ac:dyDescent="0.4">
      <c r="A116" s="1" t="s">
        <v>756</v>
      </c>
      <c r="B116" s="1" t="s">
        <v>755</v>
      </c>
      <c r="C116" s="1" t="s">
        <v>760</v>
      </c>
      <c r="D116" s="1" t="s">
        <v>761</v>
      </c>
      <c r="E116" s="1" t="s">
        <v>4675</v>
      </c>
      <c r="F116" s="1" t="s">
        <v>14</v>
      </c>
      <c r="G116" s="4" t="str">
        <f>"07650"</f>
        <v>07650</v>
      </c>
      <c r="H116" s="1">
        <v>119</v>
      </c>
      <c r="I116" s="1">
        <v>43</v>
      </c>
      <c r="J116" s="1">
        <v>0</v>
      </c>
      <c r="K116" s="1">
        <v>158</v>
      </c>
      <c r="L116" s="1" t="s">
        <v>757</v>
      </c>
      <c r="M116" s="1" t="s">
        <v>758</v>
      </c>
      <c r="N116" s="1" t="s">
        <v>12</v>
      </c>
      <c r="O116" s="1" t="s">
        <v>759</v>
      </c>
    </row>
    <row r="117" spans="1:15" x14ac:dyDescent="0.4">
      <c r="A117" s="1" t="s">
        <v>1206</v>
      </c>
      <c r="B117" s="1" t="s">
        <v>1205</v>
      </c>
      <c r="C117" s="1" t="s">
        <v>1209</v>
      </c>
      <c r="D117" s="1" t="s">
        <v>1210</v>
      </c>
      <c r="E117" s="1" t="s">
        <v>4676</v>
      </c>
      <c r="F117" s="1" t="s">
        <v>14</v>
      </c>
      <c r="G117" s="4" t="str">
        <f>"08019-0477"</f>
        <v>08019-0477</v>
      </c>
      <c r="H117" s="1">
        <v>1</v>
      </c>
      <c r="I117" s="1">
        <v>1.1000000000000001</v>
      </c>
      <c r="J117" s="1">
        <v>0</v>
      </c>
      <c r="K117" s="1">
        <v>18</v>
      </c>
      <c r="L117" s="1" t="s">
        <v>178</v>
      </c>
      <c r="M117" s="1" t="s">
        <v>1207</v>
      </c>
      <c r="N117" s="1" t="s">
        <v>134</v>
      </c>
      <c r="O117" s="1" t="s">
        <v>1208</v>
      </c>
    </row>
    <row r="118" spans="1:15" x14ac:dyDescent="0.4">
      <c r="A118" s="1" t="s">
        <v>3055</v>
      </c>
      <c r="B118" s="1" t="s">
        <v>3054</v>
      </c>
      <c r="C118" s="1" t="s">
        <v>3058</v>
      </c>
      <c r="D118" s="1" t="s">
        <v>3059</v>
      </c>
      <c r="E118" s="1" t="s">
        <v>2962</v>
      </c>
      <c r="F118" s="1" t="s">
        <v>14</v>
      </c>
      <c r="G118" s="4" t="str">
        <f>"07747"</f>
        <v>07747</v>
      </c>
      <c r="H118" s="1">
        <v>255</v>
      </c>
      <c r="I118" s="1">
        <v>100</v>
      </c>
      <c r="J118" s="1">
        <v>0</v>
      </c>
      <c r="K118" s="1">
        <v>0</v>
      </c>
      <c r="L118" s="1" t="s">
        <v>990</v>
      </c>
      <c r="M118" s="1" t="s">
        <v>3056</v>
      </c>
      <c r="N118" s="1" t="s">
        <v>12</v>
      </c>
      <c r="O118" s="1" t="s">
        <v>3057</v>
      </c>
    </row>
    <row r="119" spans="1:15" x14ac:dyDescent="0.4">
      <c r="A119" s="1" t="s">
        <v>4362</v>
      </c>
      <c r="B119" s="1" t="s">
        <v>4361</v>
      </c>
      <c r="C119" s="1" t="s">
        <v>4365</v>
      </c>
      <c r="D119" s="1" t="s">
        <v>2423</v>
      </c>
      <c r="E119" s="1" t="s">
        <v>4594</v>
      </c>
      <c r="F119" s="1" t="s">
        <v>14</v>
      </c>
      <c r="G119" s="4" t="str">
        <f>"07208"</f>
        <v>07208</v>
      </c>
      <c r="H119" s="1">
        <v>111</v>
      </c>
      <c r="I119" s="1">
        <v>15.2</v>
      </c>
      <c r="J119" s="1">
        <v>0</v>
      </c>
      <c r="K119" s="1">
        <v>61</v>
      </c>
      <c r="L119" s="1" t="s">
        <v>4363</v>
      </c>
      <c r="M119" s="1" t="s">
        <v>1056</v>
      </c>
      <c r="N119" s="1" t="s">
        <v>12</v>
      </c>
      <c r="O119" s="1" t="s">
        <v>4364</v>
      </c>
    </row>
    <row r="120" spans="1:15" x14ac:dyDescent="0.4">
      <c r="A120" s="1" t="s">
        <v>992</v>
      </c>
      <c r="B120" s="1" t="s">
        <v>991</v>
      </c>
      <c r="C120" s="1" t="s">
        <v>996</v>
      </c>
      <c r="D120" s="1" t="s">
        <v>997</v>
      </c>
      <c r="E120" s="1" t="s">
        <v>4676</v>
      </c>
      <c r="F120" s="1" t="s">
        <v>14</v>
      </c>
      <c r="G120" s="4" t="str">
        <f>"08515"</f>
        <v>08515</v>
      </c>
      <c r="H120" s="1">
        <v>3</v>
      </c>
      <c r="I120" s="1">
        <v>0.4</v>
      </c>
      <c r="J120" s="1">
        <v>0</v>
      </c>
      <c r="K120" s="1">
        <v>81</v>
      </c>
      <c r="L120" s="1" t="s">
        <v>993</v>
      </c>
      <c r="M120" s="1" t="s">
        <v>994</v>
      </c>
      <c r="N120" s="1" t="s">
        <v>12</v>
      </c>
      <c r="O120" s="1" t="s">
        <v>995</v>
      </c>
    </row>
    <row r="121" spans="1:15" x14ac:dyDescent="0.4">
      <c r="A121" s="1" t="s">
        <v>1355</v>
      </c>
      <c r="B121" s="1" t="s">
        <v>1348</v>
      </c>
      <c r="C121" s="1" t="s">
        <v>1358</v>
      </c>
      <c r="D121" s="1" t="s">
        <v>1245</v>
      </c>
      <c r="E121" s="1" t="s">
        <v>1271</v>
      </c>
      <c r="F121" s="1" t="s">
        <v>14</v>
      </c>
      <c r="G121" s="4" t="str">
        <f>"08012"</f>
        <v>08012</v>
      </c>
      <c r="H121" s="1">
        <v>45</v>
      </c>
      <c r="I121" s="1">
        <v>6.3</v>
      </c>
      <c r="J121" s="1">
        <v>0</v>
      </c>
      <c r="K121" s="1">
        <v>117</v>
      </c>
      <c r="L121" s="1" t="s">
        <v>1356</v>
      </c>
      <c r="M121" s="1" t="s">
        <v>43</v>
      </c>
      <c r="N121" s="1" t="s">
        <v>12</v>
      </c>
      <c r="O121" s="1" t="s">
        <v>1357</v>
      </c>
    </row>
    <row r="122" spans="1:15" x14ac:dyDescent="0.4">
      <c r="A122" s="1" t="s">
        <v>1738</v>
      </c>
      <c r="B122" s="1" t="s">
        <v>1737</v>
      </c>
      <c r="C122" s="1" t="s">
        <v>1741</v>
      </c>
      <c r="D122" s="1" t="s">
        <v>1742</v>
      </c>
      <c r="E122" s="1" t="s">
        <v>4680</v>
      </c>
      <c r="F122" s="1" t="s">
        <v>14</v>
      </c>
      <c r="G122" s="4" t="str">
        <f>"08332"</f>
        <v>08332</v>
      </c>
      <c r="H122" s="1">
        <v>554</v>
      </c>
      <c r="I122" s="1">
        <v>100</v>
      </c>
      <c r="J122" s="1">
        <v>0</v>
      </c>
      <c r="K122" s="1">
        <v>0</v>
      </c>
      <c r="L122" s="1" t="s">
        <v>1739</v>
      </c>
      <c r="M122" s="1" t="s">
        <v>11</v>
      </c>
      <c r="N122" s="1" t="s">
        <v>12</v>
      </c>
      <c r="O122" s="1" t="s">
        <v>1740</v>
      </c>
    </row>
    <row r="123" spans="1:15" x14ac:dyDescent="0.4">
      <c r="A123" s="1" t="s">
        <v>2889</v>
      </c>
      <c r="B123" s="1" t="s">
        <v>2883</v>
      </c>
      <c r="C123" s="1" t="s">
        <v>2891</v>
      </c>
      <c r="D123" s="1" t="s">
        <v>2888</v>
      </c>
      <c r="E123" s="1" t="s">
        <v>2962</v>
      </c>
      <c r="F123" s="1" t="s">
        <v>14</v>
      </c>
      <c r="G123" s="4" t="str">
        <f>"08816"</f>
        <v>08816</v>
      </c>
      <c r="H123" s="1">
        <v>13</v>
      </c>
      <c r="I123" s="1">
        <v>3.8</v>
      </c>
      <c r="J123" s="1">
        <v>0</v>
      </c>
      <c r="K123" s="1">
        <v>52</v>
      </c>
      <c r="L123" s="1" t="s">
        <v>112</v>
      </c>
      <c r="M123" s="1" t="s">
        <v>1108</v>
      </c>
      <c r="N123" s="1" t="s">
        <v>12</v>
      </c>
      <c r="O123" s="1" t="s">
        <v>2890</v>
      </c>
    </row>
    <row r="124" spans="1:15" x14ac:dyDescent="0.4">
      <c r="A124" s="1" t="s">
        <v>2434</v>
      </c>
      <c r="B124" s="1" t="s">
        <v>2416</v>
      </c>
      <c r="C124" s="1" t="s">
        <v>2437</v>
      </c>
      <c r="D124" s="1" t="s">
        <v>1624</v>
      </c>
      <c r="E124" s="1" t="s">
        <v>2239</v>
      </c>
      <c r="F124" s="1" t="s">
        <v>14</v>
      </c>
      <c r="G124" s="4" t="str">
        <f>"07307-2017"</f>
        <v>07307-2017</v>
      </c>
      <c r="H124" s="1">
        <v>72</v>
      </c>
      <c r="I124" s="1">
        <v>7.9</v>
      </c>
      <c r="J124" s="1">
        <v>0</v>
      </c>
      <c r="K124" s="1">
        <v>106</v>
      </c>
      <c r="L124" s="1" t="s">
        <v>490</v>
      </c>
      <c r="M124" s="1" t="s">
        <v>2435</v>
      </c>
      <c r="N124" s="1" t="s">
        <v>12</v>
      </c>
      <c r="O124" s="1" t="s">
        <v>2436</v>
      </c>
    </row>
    <row r="125" spans="1:15" x14ac:dyDescent="0.4">
      <c r="A125" s="1" t="s">
        <v>495</v>
      </c>
      <c r="B125" s="1" t="s">
        <v>488</v>
      </c>
      <c r="C125" s="1" t="s">
        <v>498</v>
      </c>
      <c r="D125" s="1" t="s">
        <v>494</v>
      </c>
      <c r="E125" s="1" t="s">
        <v>4675</v>
      </c>
      <c r="F125" s="1" t="s">
        <v>14</v>
      </c>
      <c r="G125" s="4" t="str">
        <f>"07026"</f>
        <v>07026</v>
      </c>
      <c r="H125" s="1">
        <v>14</v>
      </c>
      <c r="I125" s="1">
        <v>3.8</v>
      </c>
      <c r="J125" s="1">
        <v>0</v>
      </c>
      <c r="K125" s="1">
        <v>51</v>
      </c>
      <c r="L125" s="1" t="s">
        <v>16</v>
      </c>
      <c r="M125" s="1" t="s">
        <v>496</v>
      </c>
      <c r="N125" s="1" t="s">
        <v>12</v>
      </c>
      <c r="O125" s="1" t="s">
        <v>497</v>
      </c>
    </row>
    <row r="126" spans="1:15" x14ac:dyDescent="0.4">
      <c r="A126" s="1" t="s">
        <v>1834</v>
      </c>
      <c r="B126" s="1" t="s">
        <v>1826</v>
      </c>
      <c r="C126" s="1" t="s">
        <v>1838</v>
      </c>
      <c r="D126" s="1" t="s">
        <v>1612</v>
      </c>
      <c r="E126" s="1" t="s">
        <v>4681</v>
      </c>
      <c r="F126" s="1" t="s">
        <v>14</v>
      </c>
      <c r="G126" s="4" t="str">
        <f>"07017"</f>
        <v>07017</v>
      </c>
      <c r="H126" s="1">
        <v>68</v>
      </c>
      <c r="I126" s="1">
        <v>14.1</v>
      </c>
      <c r="J126" s="1">
        <v>0</v>
      </c>
      <c r="K126" s="1">
        <v>52</v>
      </c>
      <c r="L126" s="1" t="s">
        <v>1835</v>
      </c>
      <c r="M126" s="1" t="s">
        <v>1836</v>
      </c>
      <c r="N126" s="1" t="s">
        <v>12</v>
      </c>
      <c r="O126" s="1" t="s">
        <v>1837</v>
      </c>
    </row>
    <row r="127" spans="1:15" x14ac:dyDescent="0.4">
      <c r="A127" s="1" t="s">
        <v>999</v>
      </c>
      <c r="B127" s="1" t="s">
        <v>998</v>
      </c>
      <c r="C127" s="1" t="s">
        <v>1002</v>
      </c>
      <c r="D127" s="1" t="s">
        <v>1003</v>
      </c>
      <c r="E127" s="1" t="s">
        <v>4676</v>
      </c>
      <c r="F127" s="1" t="s">
        <v>14</v>
      </c>
      <c r="G127" s="4" t="str">
        <f>"08077-0224"</f>
        <v>08077-0224</v>
      </c>
      <c r="H127" s="1">
        <v>39</v>
      </c>
      <c r="I127" s="1">
        <v>88.6</v>
      </c>
      <c r="J127" s="1">
        <v>0</v>
      </c>
      <c r="K127" s="1">
        <v>0</v>
      </c>
      <c r="L127" s="1" t="s">
        <v>124</v>
      </c>
      <c r="M127" s="1" t="s">
        <v>1000</v>
      </c>
      <c r="N127" s="1" t="s">
        <v>12</v>
      </c>
      <c r="O127" s="1" t="s">
        <v>1001</v>
      </c>
    </row>
    <row r="128" spans="1:15" x14ac:dyDescent="0.4">
      <c r="A128" s="1" t="s">
        <v>3671</v>
      </c>
      <c r="B128" s="1" t="s">
        <v>3665</v>
      </c>
      <c r="C128" s="1" t="s">
        <v>3673</v>
      </c>
      <c r="D128" s="1" t="s">
        <v>3670</v>
      </c>
      <c r="E128" s="1" t="s">
        <v>4685</v>
      </c>
      <c r="F128" s="1" t="s">
        <v>14</v>
      </c>
      <c r="G128" s="4" t="str">
        <f>"08721-2414"</f>
        <v>08721-2414</v>
      </c>
      <c r="H128" s="1">
        <v>161</v>
      </c>
      <c r="I128" s="1">
        <v>24.2</v>
      </c>
      <c r="J128" s="1">
        <v>0</v>
      </c>
      <c r="K128" s="1">
        <v>96</v>
      </c>
      <c r="L128" s="1" t="s">
        <v>1223</v>
      </c>
      <c r="M128" s="1" t="s">
        <v>1831</v>
      </c>
      <c r="N128" s="1" t="s">
        <v>12</v>
      </c>
      <c r="O128" s="1" t="s">
        <v>3672</v>
      </c>
    </row>
    <row r="129" spans="1:15" x14ac:dyDescent="0.4">
      <c r="A129" s="1" t="s">
        <v>958</v>
      </c>
      <c r="B129" s="1" t="s">
        <v>956</v>
      </c>
      <c r="C129" s="1" t="s">
        <v>961</v>
      </c>
      <c r="D129" s="1" t="s">
        <v>957</v>
      </c>
      <c r="E129" s="1" t="s">
        <v>4676</v>
      </c>
      <c r="F129" s="1" t="s">
        <v>14</v>
      </c>
      <c r="G129" s="4" t="str">
        <f>"08505-1739"</f>
        <v>08505-1739</v>
      </c>
      <c r="H129" s="1">
        <v>25</v>
      </c>
      <c r="I129" s="1">
        <v>11</v>
      </c>
      <c r="J129" s="1">
        <v>0</v>
      </c>
      <c r="K129" s="1">
        <v>71</v>
      </c>
      <c r="L129" s="1" t="s">
        <v>549</v>
      </c>
      <c r="M129" s="1" t="s">
        <v>959</v>
      </c>
      <c r="N129" s="1" t="s">
        <v>12</v>
      </c>
      <c r="O129" s="1" t="s">
        <v>960</v>
      </c>
    </row>
    <row r="130" spans="1:15" x14ac:dyDescent="0.4">
      <c r="A130" s="1" t="s">
        <v>4149</v>
      </c>
      <c r="B130" s="1" t="s">
        <v>4148</v>
      </c>
      <c r="C130" s="1" t="s">
        <v>4151</v>
      </c>
      <c r="D130" s="1" t="s">
        <v>4152</v>
      </c>
      <c r="E130" s="1" t="s">
        <v>1597</v>
      </c>
      <c r="F130" s="1" t="s">
        <v>14</v>
      </c>
      <c r="G130" s="4" t="str">
        <f>"08823"</f>
        <v>08823</v>
      </c>
      <c r="H130" s="1">
        <v>75</v>
      </c>
      <c r="I130" s="1">
        <v>10.8</v>
      </c>
      <c r="J130" s="1">
        <v>0</v>
      </c>
      <c r="K130" s="1">
        <v>117</v>
      </c>
      <c r="L130" s="1" t="s">
        <v>3969</v>
      </c>
      <c r="M130" s="1" t="s">
        <v>1754</v>
      </c>
      <c r="N130" s="1" t="s">
        <v>12</v>
      </c>
      <c r="O130" s="1" t="s">
        <v>4150</v>
      </c>
    </row>
    <row r="131" spans="1:15" x14ac:dyDescent="0.4">
      <c r="A131" s="1" t="s">
        <v>1145</v>
      </c>
      <c r="B131" s="1" t="s">
        <v>1144</v>
      </c>
      <c r="C131" s="1" t="s">
        <v>1148</v>
      </c>
      <c r="D131" s="1" t="s">
        <v>1143</v>
      </c>
      <c r="E131" s="1" t="s">
        <v>4676</v>
      </c>
      <c r="F131" s="1" t="s">
        <v>14</v>
      </c>
      <c r="G131" s="4" t="str">
        <f>"08562"</f>
        <v>08562</v>
      </c>
      <c r="H131" s="1">
        <v>90</v>
      </c>
      <c r="I131" s="1">
        <v>30.6</v>
      </c>
      <c r="J131" s="1">
        <v>0</v>
      </c>
      <c r="K131" s="1">
        <v>59</v>
      </c>
      <c r="L131" s="1" t="s">
        <v>828</v>
      </c>
      <c r="M131" s="1" t="s">
        <v>1146</v>
      </c>
      <c r="N131" s="1" t="s">
        <v>12</v>
      </c>
      <c r="O131" s="1" t="s">
        <v>1147</v>
      </c>
    </row>
    <row r="132" spans="1:15" x14ac:dyDescent="0.4">
      <c r="A132" s="1" t="s">
        <v>4353</v>
      </c>
      <c r="B132" s="1" t="s">
        <v>4351</v>
      </c>
      <c r="C132" s="1" t="s">
        <v>4357</v>
      </c>
      <c r="D132" s="1" t="s">
        <v>1127</v>
      </c>
      <c r="E132" s="1" t="s">
        <v>4594</v>
      </c>
      <c r="F132" s="1" t="s">
        <v>14</v>
      </c>
      <c r="G132" s="4" t="str">
        <f>"07066"</f>
        <v>07066</v>
      </c>
      <c r="H132" s="1">
        <v>8</v>
      </c>
      <c r="I132" s="1">
        <v>36.4</v>
      </c>
      <c r="J132" s="1">
        <v>0</v>
      </c>
      <c r="K132" s="1">
        <v>0</v>
      </c>
      <c r="L132" s="1" t="s">
        <v>4354</v>
      </c>
      <c r="M132" s="1" t="s">
        <v>4355</v>
      </c>
      <c r="N132" s="1" t="s">
        <v>12</v>
      </c>
      <c r="O132" s="1" t="s">
        <v>4356</v>
      </c>
    </row>
    <row r="133" spans="1:15" x14ac:dyDescent="0.4">
      <c r="A133" s="1" t="s">
        <v>1307</v>
      </c>
      <c r="B133" s="1" t="s">
        <v>1306</v>
      </c>
      <c r="C133" s="1" t="s">
        <v>1310</v>
      </c>
      <c r="D133" s="1" t="s">
        <v>1311</v>
      </c>
      <c r="E133" s="1" t="s">
        <v>1271</v>
      </c>
      <c r="F133" s="1" t="s">
        <v>14</v>
      </c>
      <c r="G133" s="4" t="str">
        <f>"08021"</f>
        <v>08021</v>
      </c>
      <c r="H133" s="1">
        <v>54</v>
      </c>
      <c r="I133" s="1">
        <v>9.1999999999999993</v>
      </c>
      <c r="J133" s="1">
        <v>0</v>
      </c>
      <c r="K133" s="1">
        <v>54</v>
      </c>
      <c r="L133" s="1" t="s">
        <v>1303</v>
      </c>
      <c r="M133" s="1" t="s">
        <v>1308</v>
      </c>
      <c r="N133" s="1" t="s">
        <v>12</v>
      </c>
      <c r="O133" s="1" t="s">
        <v>1309</v>
      </c>
    </row>
    <row r="134" spans="1:15" x14ac:dyDescent="0.4">
      <c r="A134" s="1" t="s">
        <v>3298</v>
      </c>
      <c r="B134" s="1" t="s">
        <v>3292</v>
      </c>
      <c r="C134" s="1" t="s">
        <v>3301</v>
      </c>
      <c r="D134" s="1" t="s">
        <v>3302</v>
      </c>
      <c r="E134" s="1" t="s">
        <v>4684</v>
      </c>
      <c r="F134" s="1" t="s">
        <v>14</v>
      </c>
      <c r="G134" s="4" t="str">
        <f>"07721-1195"</f>
        <v>07721-1195</v>
      </c>
      <c r="H134" s="1">
        <v>59</v>
      </c>
      <c r="I134" s="1">
        <v>16.5</v>
      </c>
      <c r="J134" s="1">
        <v>0</v>
      </c>
      <c r="K134" s="1">
        <v>78</v>
      </c>
      <c r="L134" s="1" t="s">
        <v>366</v>
      </c>
      <c r="M134" s="1" t="s">
        <v>3299</v>
      </c>
      <c r="N134" s="1" t="s">
        <v>12</v>
      </c>
      <c r="O134" s="1" t="s">
        <v>3300</v>
      </c>
    </row>
    <row r="135" spans="1:15" x14ac:dyDescent="0.4">
      <c r="A135" s="1" t="s">
        <v>4336</v>
      </c>
      <c r="B135" s="1" t="s">
        <v>4335</v>
      </c>
      <c r="C135" s="1" t="s">
        <v>4340</v>
      </c>
      <c r="D135" s="1" t="s">
        <v>4341</v>
      </c>
      <c r="E135" s="1" t="s">
        <v>4687</v>
      </c>
      <c r="F135" s="1" t="s">
        <v>14</v>
      </c>
      <c r="G135" s="4" t="str">
        <f>"07461"</f>
        <v>07461</v>
      </c>
      <c r="H135" s="1">
        <v>86</v>
      </c>
      <c r="I135" s="1">
        <v>20.3</v>
      </c>
      <c r="J135" s="1">
        <v>0</v>
      </c>
      <c r="K135" s="1">
        <v>104</v>
      </c>
      <c r="L135" s="1" t="s">
        <v>4337</v>
      </c>
      <c r="M135" s="1" t="s">
        <v>4338</v>
      </c>
      <c r="N135" s="1" t="s">
        <v>12</v>
      </c>
      <c r="O135" s="1" t="s">
        <v>4339</v>
      </c>
    </row>
    <row r="136" spans="1:15" x14ac:dyDescent="0.4">
      <c r="A136" s="1" t="s">
        <v>3862</v>
      </c>
      <c r="B136" s="1" t="s">
        <v>3861</v>
      </c>
      <c r="C136" s="1" t="s">
        <v>3865</v>
      </c>
      <c r="D136" s="1" t="s">
        <v>3866</v>
      </c>
      <c r="E136" s="1" t="s">
        <v>1651</v>
      </c>
      <c r="F136" s="1" t="s">
        <v>14</v>
      </c>
      <c r="G136" s="4" t="str">
        <f>"07012"</f>
        <v>07012</v>
      </c>
      <c r="H136" s="1">
        <v>62</v>
      </c>
      <c r="I136" s="1">
        <v>100</v>
      </c>
      <c r="J136" s="1">
        <v>0</v>
      </c>
      <c r="K136" s="1">
        <v>0</v>
      </c>
      <c r="L136" s="1" t="s">
        <v>1382</v>
      </c>
      <c r="M136" s="1" t="s">
        <v>3863</v>
      </c>
      <c r="N136" s="1" t="s">
        <v>12</v>
      </c>
      <c r="O136" s="1" t="s">
        <v>3864</v>
      </c>
    </row>
    <row r="137" spans="1:15" x14ac:dyDescent="0.4">
      <c r="A137" s="1" t="s">
        <v>3867</v>
      </c>
      <c r="B137" s="1" t="s">
        <v>3861</v>
      </c>
      <c r="C137" s="1" t="s">
        <v>3868</v>
      </c>
      <c r="D137" s="1" t="s">
        <v>3866</v>
      </c>
      <c r="E137" s="1" t="s">
        <v>1651</v>
      </c>
      <c r="F137" s="1" t="s">
        <v>14</v>
      </c>
      <c r="G137" s="4" t="str">
        <f>"07012"</f>
        <v>07012</v>
      </c>
      <c r="H137" s="1">
        <v>327</v>
      </c>
      <c r="I137" s="1">
        <v>100</v>
      </c>
      <c r="J137" s="1">
        <v>0</v>
      </c>
      <c r="K137" s="1">
        <v>0</v>
      </c>
      <c r="L137" s="1" t="s">
        <v>1382</v>
      </c>
      <c r="M137" s="1" t="s">
        <v>3863</v>
      </c>
      <c r="N137" s="1" t="s">
        <v>12</v>
      </c>
      <c r="O137" s="1" t="s">
        <v>3864</v>
      </c>
    </row>
    <row r="138" spans="1:15" x14ac:dyDescent="0.4">
      <c r="A138" s="1" t="s">
        <v>2633</v>
      </c>
      <c r="B138" s="1" t="s">
        <v>2632</v>
      </c>
      <c r="C138" s="1" t="s">
        <v>2636</v>
      </c>
      <c r="D138" s="1" t="s">
        <v>2623</v>
      </c>
      <c r="E138" s="1" t="s">
        <v>4682</v>
      </c>
      <c r="F138" s="1" t="s">
        <v>14</v>
      </c>
      <c r="G138" s="4" t="str">
        <f>"08809"</f>
        <v>08809</v>
      </c>
      <c r="H138" s="1">
        <v>60</v>
      </c>
      <c r="I138" s="1">
        <v>11.5</v>
      </c>
      <c r="J138" s="1">
        <v>0</v>
      </c>
      <c r="K138" s="1">
        <v>42</v>
      </c>
      <c r="L138" s="1" t="s">
        <v>2634</v>
      </c>
      <c r="M138" s="1" t="s">
        <v>1302</v>
      </c>
      <c r="N138" s="1" t="s">
        <v>105</v>
      </c>
      <c r="O138" s="1" t="s">
        <v>2635</v>
      </c>
    </row>
    <row r="139" spans="1:15" x14ac:dyDescent="0.4">
      <c r="A139" s="1" t="s">
        <v>1343</v>
      </c>
      <c r="B139" s="1" t="s">
        <v>1342</v>
      </c>
      <c r="C139" s="1" t="s">
        <v>1346</v>
      </c>
      <c r="D139" s="1" t="s">
        <v>1347</v>
      </c>
      <c r="E139" s="1" t="s">
        <v>1271</v>
      </c>
      <c r="F139" s="1" t="s">
        <v>14</v>
      </c>
      <c r="G139" s="4" t="str">
        <f>"08030"</f>
        <v>08030</v>
      </c>
      <c r="H139" s="1">
        <v>227</v>
      </c>
      <c r="I139" s="1">
        <v>27</v>
      </c>
      <c r="J139" s="1">
        <v>0</v>
      </c>
      <c r="K139" s="1">
        <v>137</v>
      </c>
      <c r="L139" s="1" t="s">
        <v>40</v>
      </c>
      <c r="M139" s="1" t="s">
        <v>1344</v>
      </c>
      <c r="N139" s="1" t="s">
        <v>12</v>
      </c>
      <c r="O139" s="1" t="s">
        <v>1345</v>
      </c>
    </row>
    <row r="140" spans="1:15" x14ac:dyDescent="0.4">
      <c r="A140" s="1" t="s">
        <v>89</v>
      </c>
      <c r="B140" s="1" t="s">
        <v>86</v>
      </c>
      <c r="C140" s="1" t="s">
        <v>93</v>
      </c>
      <c r="D140" s="1" t="s">
        <v>94</v>
      </c>
      <c r="E140" s="1" t="s">
        <v>4674</v>
      </c>
      <c r="F140" s="1" t="s">
        <v>14</v>
      </c>
      <c r="G140" s="4" t="str">
        <f>"08094-8419"</f>
        <v>08094-8419</v>
      </c>
      <c r="H140" s="1">
        <v>77</v>
      </c>
      <c r="I140" s="1">
        <v>34.799999999999997</v>
      </c>
      <c r="J140" s="1">
        <v>0</v>
      </c>
      <c r="K140" s="1">
        <v>48</v>
      </c>
      <c r="L140" s="1" t="s">
        <v>90</v>
      </c>
      <c r="M140" s="1" t="s">
        <v>91</v>
      </c>
      <c r="N140" s="1" t="s">
        <v>12</v>
      </c>
      <c r="O140" s="1" t="s">
        <v>92</v>
      </c>
    </row>
    <row r="141" spans="1:15" x14ac:dyDescent="0.4">
      <c r="A141" s="1" t="s">
        <v>1314</v>
      </c>
      <c r="B141" s="1" t="s">
        <v>1312</v>
      </c>
      <c r="C141" s="1" t="s">
        <v>1317</v>
      </c>
      <c r="D141" s="1" t="s">
        <v>1318</v>
      </c>
      <c r="E141" s="1" t="s">
        <v>1271</v>
      </c>
      <c r="F141" s="1" t="s">
        <v>14</v>
      </c>
      <c r="G141" s="4" t="str">
        <f>"08108"</f>
        <v>08108</v>
      </c>
      <c r="H141" s="1">
        <v>58</v>
      </c>
      <c r="I141" s="1">
        <v>100</v>
      </c>
      <c r="J141" s="1">
        <v>0</v>
      </c>
      <c r="K141" s="1">
        <v>0</v>
      </c>
      <c r="L141" s="1" t="s">
        <v>40</v>
      </c>
      <c r="M141" s="1" t="s">
        <v>1315</v>
      </c>
      <c r="N141" s="1" t="s">
        <v>105</v>
      </c>
      <c r="O141" s="1" t="s">
        <v>1316</v>
      </c>
    </row>
    <row r="142" spans="1:15" x14ac:dyDescent="0.4">
      <c r="A142" s="1" t="s">
        <v>1319</v>
      </c>
      <c r="B142" s="1" t="s">
        <v>1312</v>
      </c>
      <c r="C142" s="1" t="s">
        <v>1322</v>
      </c>
      <c r="D142" s="1" t="s">
        <v>1323</v>
      </c>
      <c r="E142" s="1" t="s">
        <v>1271</v>
      </c>
      <c r="F142" s="1" t="s">
        <v>14</v>
      </c>
      <c r="G142" s="4" t="str">
        <f>"08107"</f>
        <v>08107</v>
      </c>
      <c r="H142" s="1">
        <v>43</v>
      </c>
      <c r="I142" s="1">
        <v>100</v>
      </c>
      <c r="J142" s="1">
        <v>0</v>
      </c>
      <c r="K142" s="1">
        <v>0</v>
      </c>
      <c r="L142" s="1" t="s">
        <v>951</v>
      </c>
      <c r="M142" s="1" t="s">
        <v>1320</v>
      </c>
      <c r="N142" s="1" t="s">
        <v>12</v>
      </c>
      <c r="O142" s="1" t="s">
        <v>1321</v>
      </c>
    </row>
    <row r="143" spans="1:15" x14ac:dyDescent="0.4">
      <c r="A143" s="1" t="s">
        <v>472</v>
      </c>
      <c r="B143" s="1" t="s">
        <v>471</v>
      </c>
      <c r="C143" s="1" t="s">
        <v>475</v>
      </c>
      <c r="D143" s="1" t="s">
        <v>476</v>
      </c>
      <c r="E143" s="1" t="s">
        <v>4675</v>
      </c>
      <c r="F143" s="1" t="s">
        <v>14</v>
      </c>
      <c r="G143" s="4" t="str">
        <f>"07417"</f>
        <v>07417</v>
      </c>
      <c r="H143" s="1">
        <v>7</v>
      </c>
      <c r="I143" s="1">
        <v>3</v>
      </c>
      <c r="J143" s="1">
        <v>0</v>
      </c>
      <c r="K143" s="1">
        <v>30</v>
      </c>
      <c r="L143" s="1" t="s">
        <v>366</v>
      </c>
      <c r="M143" s="1" t="s">
        <v>473</v>
      </c>
      <c r="N143" s="1" t="s">
        <v>12</v>
      </c>
      <c r="O143" s="1" t="s">
        <v>474</v>
      </c>
    </row>
    <row r="144" spans="1:15" x14ac:dyDescent="0.4">
      <c r="A144" s="1" t="s">
        <v>2859</v>
      </c>
      <c r="B144" s="1" t="s">
        <v>2857</v>
      </c>
      <c r="C144" s="1" t="s">
        <v>2863</v>
      </c>
      <c r="D144" s="1" t="s">
        <v>2858</v>
      </c>
      <c r="E144" s="1" t="s">
        <v>2962</v>
      </c>
      <c r="F144" s="1" t="s">
        <v>14</v>
      </c>
      <c r="G144" s="4" t="str">
        <f>"07008"</f>
        <v>07008</v>
      </c>
      <c r="H144" s="1">
        <v>109</v>
      </c>
      <c r="I144" s="1">
        <v>17</v>
      </c>
      <c r="J144" s="1">
        <v>0</v>
      </c>
      <c r="K144" s="1">
        <v>107</v>
      </c>
      <c r="L144" s="1" t="s">
        <v>2860</v>
      </c>
      <c r="M144" s="1" t="s">
        <v>2861</v>
      </c>
      <c r="N144" s="1" t="s">
        <v>12</v>
      </c>
      <c r="O144" s="1" t="s">
        <v>2862</v>
      </c>
    </row>
    <row r="145" spans="1:15" x14ac:dyDescent="0.4">
      <c r="A145" s="1" t="s">
        <v>607</v>
      </c>
      <c r="B145" s="1" t="s">
        <v>606</v>
      </c>
      <c r="C145" s="1" t="s">
        <v>610</v>
      </c>
      <c r="D145" s="1" t="s">
        <v>611</v>
      </c>
      <c r="E145" s="1" t="s">
        <v>4675</v>
      </c>
      <c r="F145" s="1" t="s">
        <v>14</v>
      </c>
      <c r="G145" s="4" t="str">
        <f>"07644"</f>
        <v>07644</v>
      </c>
      <c r="H145" s="1">
        <v>28</v>
      </c>
      <c r="I145" s="1">
        <v>10.6</v>
      </c>
      <c r="J145" s="1">
        <v>0</v>
      </c>
      <c r="K145" s="1">
        <v>43</v>
      </c>
      <c r="L145" s="1" t="s">
        <v>290</v>
      </c>
      <c r="M145" s="1" t="s">
        <v>608</v>
      </c>
      <c r="N145" s="1" t="s">
        <v>12</v>
      </c>
      <c r="O145" s="1" t="s">
        <v>609</v>
      </c>
    </row>
    <row r="146" spans="1:15" x14ac:dyDescent="0.4">
      <c r="A146" s="1" t="s">
        <v>607</v>
      </c>
      <c r="B146" s="1" t="s">
        <v>629</v>
      </c>
      <c r="C146" s="1" t="s">
        <v>632</v>
      </c>
      <c r="D146" s="1" t="s">
        <v>633</v>
      </c>
      <c r="E146" s="1" t="s">
        <v>4675</v>
      </c>
      <c r="F146" s="1" t="s">
        <v>14</v>
      </c>
      <c r="G146" s="4" t="str">
        <f>"07071-1207"</f>
        <v>07071-1207</v>
      </c>
      <c r="H146" s="1">
        <v>28</v>
      </c>
      <c r="I146" s="1">
        <v>10.6</v>
      </c>
      <c r="J146" s="1">
        <v>0</v>
      </c>
      <c r="K146" s="1">
        <v>43</v>
      </c>
      <c r="L146" s="1" t="s">
        <v>290</v>
      </c>
      <c r="M146" s="1" t="s">
        <v>630</v>
      </c>
      <c r="N146" s="1" t="s">
        <v>12</v>
      </c>
      <c r="O146" s="1" t="s">
        <v>631</v>
      </c>
    </row>
    <row r="147" spans="1:15" x14ac:dyDescent="0.4">
      <c r="A147" s="1" t="s">
        <v>1694</v>
      </c>
      <c r="B147" s="1" t="s">
        <v>1693</v>
      </c>
      <c r="C147" s="1" t="s">
        <v>1696</v>
      </c>
      <c r="D147" s="1" t="s">
        <v>1697</v>
      </c>
      <c r="E147" s="1" t="s">
        <v>4680</v>
      </c>
      <c r="F147" s="1" t="s">
        <v>14</v>
      </c>
      <c r="G147" s="4" t="str">
        <f>"08349-9801"</f>
        <v>08349-9801</v>
      </c>
      <c r="H147" s="1">
        <v>144</v>
      </c>
      <c r="I147" s="1">
        <v>28.5</v>
      </c>
      <c r="J147" s="1">
        <v>0</v>
      </c>
      <c r="K147" s="1">
        <v>65</v>
      </c>
      <c r="L147" s="1" t="s">
        <v>1571</v>
      </c>
      <c r="M147" s="1" t="s">
        <v>365</v>
      </c>
      <c r="N147" s="1" t="s">
        <v>12</v>
      </c>
      <c r="O147" s="1" t="s">
        <v>1695</v>
      </c>
    </row>
    <row r="148" spans="1:15" x14ac:dyDescent="0.4">
      <c r="A148" s="1" t="s">
        <v>2815</v>
      </c>
      <c r="B148" s="1" t="s">
        <v>2814</v>
      </c>
      <c r="C148" s="1" t="s">
        <v>2819</v>
      </c>
      <c r="D148" s="1" t="s">
        <v>1656</v>
      </c>
      <c r="E148" s="1" t="s">
        <v>4683</v>
      </c>
      <c r="F148" s="1" t="s">
        <v>14</v>
      </c>
      <c r="G148" s="4" t="str">
        <f>"08540-3477"</f>
        <v>08540-3477</v>
      </c>
      <c r="H148" s="1">
        <v>36</v>
      </c>
      <c r="I148" s="1">
        <v>11.4</v>
      </c>
      <c r="J148" s="1">
        <v>0</v>
      </c>
      <c r="K148" s="1">
        <v>44</v>
      </c>
      <c r="L148" s="1" t="s">
        <v>2816</v>
      </c>
      <c r="M148" s="1" t="s">
        <v>2817</v>
      </c>
      <c r="N148" s="1" t="s">
        <v>12</v>
      </c>
      <c r="O148" s="1" t="s">
        <v>2818</v>
      </c>
    </row>
    <row r="149" spans="1:15" x14ac:dyDescent="0.4">
      <c r="A149" s="1" t="s">
        <v>1602</v>
      </c>
      <c r="B149" s="1" t="s">
        <v>1602</v>
      </c>
      <c r="C149" s="1" t="s">
        <v>1606</v>
      </c>
      <c r="D149" s="1" t="s">
        <v>1607</v>
      </c>
      <c r="E149" s="1" t="s">
        <v>4679</v>
      </c>
      <c r="F149" s="1" t="s">
        <v>14</v>
      </c>
      <c r="G149" s="4" t="str">
        <f>"08360"</f>
        <v>08360</v>
      </c>
      <c r="H149" s="1">
        <v>15</v>
      </c>
      <c r="I149" s="1">
        <v>8.1999999999999993</v>
      </c>
      <c r="J149" s="1">
        <v>0</v>
      </c>
      <c r="K149" s="1">
        <v>27</v>
      </c>
      <c r="L149" s="1" t="s">
        <v>1603</v>
      </c>
      <c r="M149" s="1" t="s">
        <v>1604</v>
      </c>
      <c r="N149" s="1" t="s">
        <v>134</v>
      </c>
      <c r="O149" s="1" t="s">
        <v>1605</v>
      </c>
    </row>
    <row r="150" spans="1:15" x14ac:dyDescent="0.4">
      <c r="A150" s="1" t="s">
        <v>4153</v>
      </c>
      <c r="B150" s="1" t="s">
        <v>4148</v>
      </c>
      <c r="C150" s="1" t="s">
        <v>4156</v>
      </c>
      <c r="D150" s="1" t="s">
        <v>1597</v>
      </c>
      <c r="E150" s="1" t="s">
        <v>1597</v>
      </c>
      <c r="F150" s="1" t="s">
        <v>14</v>
      </c>
      <c r="G150" s="4" t="str">
        <f>"08873-2301"</f>
        <v>08873-2301</v>
      </c>
      <c r="H150" s="1">
        <v>69</v>
      </c>
      <c r="I150" s="1">
        <v>19.7</v>
      </c>
      <c r="J150" s="1">
        <v>0</v>
      </c>
      <c r="K150" s="1">
        <v>41</v>
      </c>
      <c r="L150" s="1" t="s">
        <v>132</v>
      </c>
      <c r="M150" s="1" t="s">
        <v>4154</v>
      </c>
      <c r="N150" s="1" t="s">
        <v>12</v>
      </c>
      <c r="O150" s="1" t="s">
        <v>4155</v>
      </c>
    </row>
    <row r="151" spans="1:15" x14ac:dyDescent="0.4">
      <c r="A151" s="1" t="s">
        <v>4569</v>
      </c>
      <c r="B151" s="1" t="s">
        <v>4564</v>
      </c>
      <c r="C151" s="1" t="s">
        <v>4572</v>
      </c>
      <c r="D151" s="1" t="s">
        <v>1599</v>
      </c>
      <c r="E151" s="1" t="s">
        <v>4594</v>
      </c>
      <c r="F151" s="1" t="s">
        <v>14</v>
      </c>
      <c r="G151" s="4" t="str">
        <f>"07083"</f>
        <v>07083</v>
      </c>
      <c r="H151" s="1">
        <v>48</v>
      </c>
      <c r="I151" s="1">
        <v>11.2</v>
      </c>
      <c r="J151" s="1">
        <v>0</v>
      </c>
      <c r="K151" s="1">
        <v>60</v>
      </c>
      <c r="L151" s="1" t="s">
        <v>75</v>
      </c>
      <c r="M151" s="1" t="s">
        <v>4570</v>
      </c>
      <c r="N151" s="1" t="s">
        <v>12</v>
      </c>
      <c r="O151" s="1" t="s">
        <v>4571</v>
      </c>
    </row>
    <row r="152" spans="1:15" x14ac:dyDescent="0.4">
      <c r="A152" s="1" t="s">
        <v>3175</v>
      </c>
      <c r="B152" s="1" t="s">
        <v>3173</v>
      </c>
      <c r="C152" s="1" t="s">
        <v>3178</v>
      </c>
      <c r="D152" s="1" t="s">
        <v>3174</v>
      </c>
      <c r="E152" s="1" t="s">
        <v>4684</v>
      </c>
      <c r="F152" s="1" t="s">
        <v>14</v>
      </c>
      <c r="G152" s="4" t="str">
        <f>"07722-1250"</f>
        <v>07722-1250</v>
      </c>
      <c r="H152" s="1">
        <v>58</v>
      </c>
      <c r="I152" s="1">
        <v>15.8</v>
      </c>
      <c r="J152" s="1">
        <v>0</v>
      </c>
      <c r="K152" s="1">
        <v>97</v>
      </c>
      <c r="L152" s="1" t="s">
        <v>1569</v>
      </c>
      <c r="M152" s="1" t="s">
        <v>3176</v>
      </c>
      <c r="N152" s="1" t="s">
        <v>12</v>
      </c>
      <c r="O152" s="1" t="s">
        <v>3177</v>
      </c>
    </row>
    <row r="153" spans="1:15" x14ac:dyDescent="0.4">
      <c r="A153" s="1" t="s">
        <v>3086</v>
      </c>
      <c r="B153" s="1" t="s">
        <v>3074</v>
      </c>
      <c r="C153" s="1" t="s">
        <v>3089</v>
      </c>
      <c r="D153" s="1" t="s">
        <v>3084</v>
      </c>
      <c r="E153" s="1" t="s">
        <v>2962</v>
      </c>
      <c r="F153" s="1" t="s">
        <v>14</v>
      </c>
      <c r="G153" s="4" t="str">
        <f>"08824"</f>
        <v>08824</v>
      </c>
      <c r="H153" s="1">
        <v>56</v>
      </c>
      <c r="I153" s="1">
        <v>11.8</v>
      </c>
      <c r="J153" s="1">
        <v>0</v>
      </c>
      <c r="K153" s="1">
        <v>48</v>
      </c>
      <c r="L153" s="1" t="s">
        <v>369</v>
      </c>
      <c r="M153" s="1" t="s">
        <v>3087</v>
      </c>
      <c r="N153" s="1" t="s">
        <v>12</v>
      </c>
      <c r="O153" s="1" t="s">
        <v>3088</v>
      </c>
    </row>
    <row r="154" spans="1:15" x14ac:dyDescent="0.4">
      <c r="A154" s="1" t="s">
        <v>4694</v>
      </c>
      <c r="B154" s="1" t="s">
        <v>1254</v>
      </c>
      <c r="C154" s="1" t="s">
        <v>1257</v>
      </c>
      <c r="D154" s="1" t="s">
        <v>1212</v>
      </c>
      <c r="E154" s="1" t="s">
        <v>1271</v>
      </c>
      <c r="F154" s="1" t="s">
        <v>14</v>
      </c>
      <c r="G154" s="4" t="str">
        <f>"08102"</f>
        <v>08102</v>
      </c>
      <c r="H154" s="1">
        <v>44</v>
      </c>
      <c r="I154" s="1">
        <v>11.5</v>
      </c>
      <c r="J154" s="1">
        <v>0</v>
      </c>
      <c r="K154" s="1">
        <v>32</v>
      </c>
      <c r="L154" s="1" t="s">
        <v>341</v>
      </c>
      <c r="M154" s="1" t="s">
        <v>1255</v>
      </c>
      <c r="N154" s="1" t="s">
        <v>12</v>
      </c>
      <c r="O154" s="1" t="s">
        <v>1256</v>
      </c>
    </row>
    <row r="155" spans="1:15" x14ac:dyDescent="0.4">
      <c r="A155" s="1" t="s">
        <v>2655</v>
      </c>
      <c r="B155" s="1" t="s">
        <v>2649</v>
      </c>
      <c r="C155" s="1" t="s">
        <v>2658</v>
      </c>
      <c r="D155" s="1" t="s">
        <v>2659</v>
      </c>
      <c r="E155" s="1" t="s">
        <v>4682</v>
      </c>
      <c r="F155" s="1" t="s">
        <v>14</v>
      </c>
      <c r="G155" s="4" t="str">
        <f>"08551-9180"</f>
        <v>08551-9180</v>
      </c>
      <c r="H155" s="1">
        <v>100</v>
      </c>
      <c r="I155" s="1">
        <v>17.3</v>
      </c>
      <c r="J155" s="1">
        <v>0</v>
      </c>
      <c r="K155" s="1">
        <v>95</v>
      </c>
      <c r="L155" s="1" t="s">
        <v>974</v>
      </c>
      <c r="M155" s="1" t="s">
        <v>2656</v>
      </c>
      <c r="N155" s="1" t="s">
        <v>12</v>
      </c>
      <c r="O155" s="1" t="s">
        <v>2657</v>
      </c>
    </row>
    <row r="156" spans="1:15" x14ac:dyDescent="0.4">
      <c r="A156" s="1" t="s">
        <v>2438</v>
      </c>
      <c r="B156" s="1" t="s">
        <v>2416</v>
      </c>
      <c r="C156" s="1" t="s">
        <v>2441</v>
      </c>
      <c r="D156" s="1" t="s">
        <v>1624</v>
      </c>
      <c r="E156" s="1" t="s">
        <v>2239</v>
      </c>
      <c r="F156" s="1" t="s">
        <v>14</v>
      </c>
      <c r="G156" s="4" t="str">
        <f>"07302-4402"</f>
        <v>07302-4402</v>
      </c>
      <c r="H156" s="1">
        <v>233</v>
      </c>
      <c r="I156" s="1">
        <v>21.5</v>
      </c>
      <c r="J156" s="1">
        <v>0</v>
      </c>
      <c r="K156" s="1">
        <v>179</v>
      </c>
      <c r="L156" s="1" t="s">
        <v>2439</v>
      </c>
      <c r="M156" s="1" t="s">
        <v>939</v>
      </c>
      <c r="N156" s="1" t="s">
        <v>12</v>
      </c>
      <c r="O156" s="1" t="s">
        <v>2440</v>
      </c>
    </row>
    <row r="157" spans="1:15" x14ac:dyDescent="0.4">
      <c r="A157" s="1" t="s">
        <v>378</v>
      </c>
      <c r="B157" s="1" t="s">
        <v>377</v>
      </c>
      <c r="C157" s="1" t="s">
        <v>381</v>
      </c>
      <c r="D157" s="1" t="s">
        <v>382</v>
      </c>
      <c r="E157" s="1" t="s">
        <v>4675</v>
      </c>
      <c r="F157" s="1" t="s">
        <v>14</v>
      </c>
      <c r="G157" s="4" t="str">
        <f>"07627-2431"</f>
        <v>07627-2431</v>
      </c>
      <c r="H157" s="1">
        <v>68</v>
      </c>
      <c r="I157" s="1">
        <v>30.8</v>
      </c>
      <c r="J157" s="1">
        <v>0</v>
      </c>
      <c r="K157" s="1">
        <v>74</v>
      </c>
      <c r="L157" s="1" t="s">
        <v>124</v>
      </c>
      <c r="M157" s="1" t="s">
        <v>379</v>
      </c>
      <c r="N157" s="1" t="s">
        <v>12</v>
      </c>
      <c r="O157" s="1" t="s">
        <v>380</v>
      </c>
    </row>
    <row r="158" spans="1:15" x14ac:dyDescent="0.4">
      <c r="A158" s="1" t="s">
        <v>3492</v>
      </c>
      <c r="B158" s="1" t="s">
        <v>3491</v>
      </c>
      <c r="C158" s="1" t="s">
        <v>3495</v>
      </c>
      <c r="D158" s="1" t="s">
        <v>3496</v>
      </c>
      <c r="E158" s="1" t="s">
        <v>1033</v>
      </c>
      <c r="F158" s="1" t="s">
        <v>14</v>
      </c>
      <c r="G158" s="4" t="str">
        <f>"07438-9125"</f>
        <v>07438-9125</v>
      </c>
      <c r="H158" s="1">
        <v>159</v>
      </c>
      <c r="I158" s="1">
        <v>67.400000000000006</v>
      </c>
      <c r="J158" s="1">
        <v>0</v>
      </c>
      <c r="K158" s="1">
        <v>77</v>
      </c>
      <c r="L158" s="1" t="s">
        <v>176</v>
      </c>
      <c r="M158" s="1" t="s">
        <v>3493</v>
      </c>
      <c r="N158" s="1" t="s">
        <v>12</v>
      </c>
      <c r="O158" s="1" t="s">
        <v>3494</v>
      </c>
    </row>
    <row r="159" spans="1:15" x14ac:dyDescent="0.4">
      <c r="A159" s="1" t="s">
        <v>1084</v>
      </c>
      <c r="B159" s="1" t="s">
        <v>1079</v>
      </c>
      <c r="C159" s="1" t="s">
        <v>1088</v>
      </c>
      <c r="D159" s="1" t="s">
        <v>1054</v>
      </c>
      <c r="E159" s="1" t="s">
        <v>4676</v>
      </c>
      <c r="F159" s="1" t="s">
        <v>14</v>
      </c>
      <c r="G159" s="4" t="str">
        <f>"08055-9172"</f>
        <v>08055-9172</v>
      </c>
      <c r="H159" s="1">
        <v>20</v>
      </c>
      <c r="I159" s="1">
        <v>5.4</v>
      </c>
      <c r="J159" s="1">
        <v>0</v>
      </c>
      <c r="K159" s="1">
        <v>60</v>
      </c>
      <c r="L159" s="1" t="s">
        <v>1085</v>
      </c>
      <c r="M159" s="1" t="s">
        <v>1086</v>
      </c>
      <c r="N159" s="1" t="s">
        <v>12</v>
      </c>
      <c r="O159" s="1" t="s">
        <v>1087</v>
      </c>
    </row>
    <row r="160" spans="1:15" x14ac:dyDescent="0.4">
      <c r="A160" s="1" t="s">
        <v>2873</v>
      </c>
      <c r="B160" s="1" t="s">
        <v>2872</v>
      </c>
      <c r="C160" s="1" t="s">
        <v>2875</v>
      </c>
      <c r="D160" s="1" t="s">
        <v>2876</v>
      </c>
      <c r="E160" s="1" t="s">
        <v>2962</v>
      </c>
      <c r="F160" s="1" t="s">
        <v>14</v>
      </c>
      <c r="G160" s="4" t="str">
        <f>"08512"</f>
        <v>08512</v>
      </c>
      <c r="H160" s="1">
        <v>14</v>
      </c>
      <c r="I160" s="1">
        <v>3.3</v>
      </c>
      <c r="J160" s="1">
        <v>0</v>
      </c>
      <c r="K160" s="1">
        <v>28</v>
      </c>
      <c r="L160" s="1" t="s">
        <v>40</v>
      </c>
      <c r="M160" s="1" t="s">
        <v>2764</v>
      </c>
      <c r="N160" s="1" t="s">
        <v>12</v>
      </c>
      <c r="O160" s="1" t="s">
        <v>2874</v>
      </c>
    </row>
    <row r="161" spans="1:15" x14ac:dyDescent="0.4">
      <c r="A161" s="1" t="s">
        <v>3702</v>
      </c>
      <c r="B161" s="1" t="s">
        <v>3700</v>
      </c>
      <c r="C161" s="1" t="s">
        <v>3705</v>
      </c>
      <c r="D161" s="1" t="s">
        <v>939</v>
      </c>
      <c r="E161" s="1" t="s">
        <v>4685</v>
      </c>
      <c r="F161" s="1" t="s">
        <v>14</v>
      </c>
      <c r="G161" s="4" t="str">
        <f>"08527-3497"</f>
        <v>08527-3497</v>
      </c>
      <c r="H161" s="1">
        <v>91</v>
      </c>
      <c r="I161" s="1">
        <v>12.7</v>
      </c>
      <c r="J161" s="1">
        <v>0</v>
      </c>
      <c r="K161" s="1">
        <v>80</v>
      </c>
      <c r="L161" s="1" t="s">
        <v>1025</v>
      </c>
      <c r="M161" s="1" t="s">
        <v>3703</v>
      </c>
      <c r="N161" s="1" t="s">
        <v>12</v>
      </c>
      <c r="O161" s="1" t="s">
        <v>3704</v>
      </c>
    </row>
    <row r="162" spans="1:15" x14ac:dyDescent="0.4">
      <c r="A162" s="1" t="s">
        <v>1573</v>
      </c>
      <c r="B162" s="1" t="s">
        <v>1572</v>
      </c>
      <c r="C162" s="1" t="s">
        <v>1576</v>
      </c>
      <c r="D162" s="1" t="s">
        <v>1577</v>
      </c>
      <c r="E162" s="1" t="s">
        <v>4678</v>
      </c>
      <c r="F162" s="1" t="s">
        <v>14</v>
      </c>
      <c r="G162" s="4" t="str">
        <f>"08260-3433"</f>
        <v>08260-3433</v>
      </c>
      <c r="H162" s="1">
        <v>20</v>
      </c>
      <c r="I162" s="1">
        <v>10.3</v>
      </c>
      <c r="J162" s="1">
        <v>0</v>
      </c>
      <c r="K162" s="1">
        <v>16</v>
      </c>
      <c r="L162" s="1" t="s">
        <v>329</v>
      </c>
      <c r="M162" s="1" t="s">
        <v>1574</v>
      </c>
      <c r="N162" s="1" t="s">
        <v>12</v>
      </c>
      <c r="O162" s="1" t="s">
        <v>1575</v>
      </c>
    </row>
    <row r="163" spans="1:15" x14ac:dyDescent="0.4">
      <c r="A163" s="1" t="s">
        <v>4589</v>
      </c>
      <c r="B163" s="1" t="s">
        <v>4588</v>
      </c>
      <c r="C163" s="1" t="s">
        <v>4591</v>
      </c>
      <c r="D163" s="1" t="s">
        <v>4592</v>
      </c>
      <c r="E163" s="1" t="s">
        <v>4594</v>
      </c>
      <c r="F163" s="1" t="s">
        <v>14</v>
      </c>
      <c r="G163" s="4" t="str">
        <f>"07090"</f>
        <v>07090</v>
      </c>
      <c r="H163" s="1">
        <v>11</v>
      </c>
      <c r="I163" s="1">
        <v>19.600000000000001</v>
      </c>
      <c r="J163" s="1">
        <v>0</v>
      </c>
      <c r="K163" s="1">
        <v>4</v>
      </c>
      <c r="L163" s="1" t="s">
        <v>989</v>
      </c>
      <c r="M163" s="1" t="s">
        <v>4399</v>
      </c>
      <c r="N163" s="1" t="s">
        <v>12</v>
      </c>
      <c r="O163" s="1" t="s">
        <v>4590</v>
      </c>
    </row>
    <row r="164" spans="1:15" x14ac:dyDescent="0.4">
      <c r="A164" s="1" t="s">
        <v>4097</v>
      </c>
      <c r="B164" s="1" t="s">
        <v>4096</v>
      </c>
      <c r="C164" s="1" t="s">
        <v>4099</v>
      </c>
      <c r="D164" s="1" t="s">
        <v>1590</v>
      </c>
      <c r="E164" s="1" t="s">
        <v>4686</v>
      </c>
      <c r="F164" s="1" t="s">
        <v>14</v>
      </c>
      <c r="G164" s="4" t="str">
        <f>"08302"</f>
        <v>08302</v>
      </c>
      <c r="H164" s="1">
        <v>4</v>
      </c>
      <c r="I164" s="1">
        <v>4.5</v>
      </c>
      <c r="J164" s="1">
        <v>0</v>
      </c>
      <c r="K164" s="1">
        <v>3</v>
      </c>
      <c r="L164" s="1" t="s">
        <v>70</v>
      </c>
      <c r="M164" s="1" t="s">
        <v>1198</v>
      </c>
      <c r="N164" s="1" t="s">
        <v>12</v>
      </c>
      <c r="O164" s="1" t="s">
        <v>4098</v>
      </c>
    </row>
    <row r="165" spans="1:15" x14ac:dyDescent="0.4">
      <c r="A165" s="1" t="s">
        <v>3952</v>
      </c>
      <c r="B165" s="1" t="s">
        <v>3941</v>
      </c>
      <c r="C165" s="1" t="s">
        <v>3955</v>
      </c>
      <c r="D165" s="1" t="s">
        <v>1591</v>
      </c>
      <c r="E165" s="1" t="s">
        <v>1651</v>
      </c>
      <c r="F165" s="1" t="s">
        <v>14</v>
      </c>
      <c r="G165" s="4" t="str">
        <f>"07501"</f>
        <v>07501</v>
      </c>
      <c r="H165" s="1">
        <v>63</v>
      </c>
      <c r="I165" s="1">
        <v>27.6</v>
      </c>
      <c r="J165" s="1">
        <v>0</v>
      </c>
      <c r="K165" s="1">
        <v>96</v>
      </c>
      <c r="L165" s="1" t="s">
        <v>503</v>
      </c>
      <c r="M165" s="1" t="s">
        <v>3953</v>
      </c>
      <c r="N165" s="1" t="s">
        <v>12</v>
      </c>
      <c r="O165" s="1" t="s">
        <v>3954</v>
      </c>
    </row>
    <row r="166" spans="1:15" x14ac:dyDescent="0.4">
      <c r="A166" s="1" t="s">
        <v>2583</v>
      </c>
      <c r="B166" s="1" t="s">
        <v>2582</v>
      </c>
      <c r="C166" s="1" t="s">
        <v>2587</v>
      </c>
      <c r="D166" s="1" t="s">
        <v>2588</v>
      </c>
      <c r="E166" s="1" t="s">
        <v>2239</v>
      </c>
      <c r="F166" s="1" t="s">
        <v>14</v>
      </c>
      <c r="G166" s="4" t="str">
        <f>"07086"</f>
        <v>07086</v>
      </c>
      <c r="H166" s="1">
        <v>103</v>
      </c>
      <c r="I166" s="1">
        <v>25.4</v>
      </c>
      <c r="J166" s="1">
        <v>0</v>
      </c>
      <c r="K166" s="1">
        <v>115</v>
      </c>
      <c r="L166" s="1" t="s">
        <v>2584</v>
      </c>
      <c r="M166" s="1" t="s">
        <v>2585</v>
      </c>
      <c r="N166" s="1" t="s">
        <v>12</v>
      </c>
      <c r="O166" s="1" t="s">
        <v>2586</v>
      </c>
    </row>
    <row r="167" spans="1:15" x14ac:dyDescent="0.4">
      <c r="A167" s="1" t="s">
        <v>3288</v>
      </c>
      <c r="B167" s="1" t="s">
        <v>3286</v>
      </c>
      <c r="C167" s="1" t="s">
        <v>3291</v>
      </c>
      <c r="D167" s="1" t="s">
        <v>3287</v>
      </c>
      <c r="E167" s="1" t="s">
        <v>4684</v>
      </c>
      <c r="F167" s="1" t="s">
        <v>14</v>
      </c>
      <c r="G167" s="4" t="str">
        <f>"07751"</f>
        <v>07751</v>
      </c>
      <c r="H167" s="1">
        <v>56</v>
      </c>
      <c r="I167" s="1">
        <v>25.7</v>
      </c>
      <c r="J167" s="1">
        <v>0</v>
      </c>
      <c r="K167" s="1">
        <v>162</v>
      </c>
      <c r="L167" s="1" t="s">
        <v>2361</v>
      </c>
      <c r="M167" s="1" t="s">
        <v>3289</v>
      </c>
      <c r="N167" s="1" t="s">
        <v>12</v>
      </c>
      <c r="O167" s="1" t="s">
        <v>3290</v>
      </c>
    </row>
    <row r="168" spans="1:15" x14ac:dyDescent="0.4">
      <c r="A168" s="1" t="s">
        <v>1534</v>
      </c>
      <c r="B168" s="1" t="s">
        <v>1529</v>
      </c>
      <c r="C168" s="1" t="s">
        <v>1538</v>
      </c>
      <c r="D168" s="1" t="s">
        <v>1539</v>
      </c>
      <c r="E168" s="1" t="s">
        <v>4678</v>
      </c>
      <c r="F168" s="1" t="s">
        <v>14</v>
      </c>
      <c r="G168" s="4" t="str">
        <f>"08251-4650"</f>
        <v>08251-4650</v>
      </c>
      <c r="H168" s="1">
        <v>137</v>
      </c>
      <c r="I168" s="1">
        <v>50</v>
      </c>
      <c r="J168" s="1">
        <v>0</v>
      </c>
      <c r="K168" s="1">
        <v>137</v>
      </c>
      <c r="L168" s="1" t="s">
        <v>1535</v>
      </c>
      <c r="M168" s="1" t="s">
        <v>1536</v>
      </c>
      <c r="N168" s="1" t="s">
        <v>12</v>
      </c>
      <c r="O168" s="1" t="s">
        <v>1537</v>
      </c>
    </row>
    <row r="169" spans="1:15" x14ac:dyDescent="0.4">
      <c r="A169" s="1" t="s">
        <v>694</v>
      </c>
      <c r="B169" s="1" t="s">
        <v>682</v>
      </c>
      <c r="C169" s="1" t="s">
        <v>697</v>
      </c>
      <c r="D169" s="1" t="s">
        <v>688</v>
      </c>
      <c r="E169" s="1" t="s">
        <v>4675</v>
      </c>
      <c r="F169" s="1" t="s">
        <v>14</v>
      </c>
      <c r="G169" s="4" t="str">
        <f>"07646"</f>
        <v>07646</v>
      </c>
      <c r="H169" s="1">
        <v>1</v>
      </c>
      <c r="I169" s="1">
        <v>0.2</v>
      </c>
      <c r="J169" s="1">
        <v>0</v>
      </c>
      <c r="K169" s="1">
        <v>0</v>
      </c>
      <c r="L169" s="1" t="s">
        <v>34</v>
      </c>
      <c r="M169" s="1" t="s">
        <v>695</v>
      </c>
      <c r="N169" s="1" t="s">
        <v>12</v>
      </c>
      <c r="O169" s="1" t="s">
        <v>696</v>
      </c>
    </row>
    <row r="170" spans="1:15" x14ac:dyDescent="0.4">
      <c r="A170" s="1" t="s">
        <v>250</v>
      </c>
      <c r="B170" s="1" t="s">
        <v>249</v>
      </c>
      <c r="C170" s="1" t="s">
        <v>253</v>
      </c>
      <c r="D170" s="1" t="s">
        <v>254</v>
      </c>
      <c r="E170" s="1" t="s">
        <v>4674</v>
      </c>
      <c r="F170" s="1" t="s">
        <v>14</v>
      </c>
      <c r="G170" s="4" t="str">
        <f>"08244-1408"</f>
        <v>08244-1408</v>
      </c>
      <c r="H170" s="1">
        <v>92</v>
      </c>
      <c r="I170" s="1">
        <v>27.1</v>
      </c>
      <c r="J170" s="1">
        <v>0</v>
      </c>
      <c r="K170" s="1">
        <v>75</v>
      </c>
      <c r="L170" s="1" t="s">
        <v>180</v>
      </c>
      <c r="M170" s="1" t="s">
        <v>251</v>
      </c>
      <c r="N170" s="1" t="s">
        <v>12</v>
      </c>
      <c r="O170" s="1" t="s">
        <v>252</v>
      </c>
    </row>
    <row r="171" spans="1:15" x14ac:dyDescent="0.4">
      <c r="A171" s="1" t="s">
        <v>3090</v>
      </c>
      <c r="B171" s="1" t="s">
        <v>3074</v>
      </c>
      <c r="C171" s="1" t="s">
        <v>3093</v>
      </c>
      <c r="D171" s="1" t="s">
        <v>3094</v>
      </c>
      <c r="E171" s="1" t="s">
        <v>2962</v>
      </c>
      <c r="F171" s="1" t="s">
        <v>14</v>
      </c>
      <c r="G171" s="4" t="str">
        <f>"08810"</f>
        <v>08810</v>
      </c>
      <c r="H171" s="1">
        <v>110</v>
      </c>
      <c r="I171" s="1">
        <v>100</v>
      </c>
      <c r="J171" s="1">
        <v>0</v>
      </c>
      <c r="K171" s="1">
        <v>0</v>
      </c>
      <c r="L171" s="1" t="s">
        <v>968</v>
      </c>
      <c r="M171" s="1" t="s">
        <v>3091</v>
      </c>
      <c r="N171" s="1" t="s">
        <v>12</v>
      </c>
      <c r="O171" s="1" t="s">
        <v>3092</v>
      </c>
    </row>
    <row r="172" spans="1:15" x14ac:dyDescent="0.4">
      <c r="A172" s="1" t="s">
        <v>285</v>
      </c>
      <c r="B172" s="1" t="s">
        <v>275</v>
      </c>
      <c r="C172" s="1" t="s">
        <v>280</v>
      </c>
      <c r="D172" s="1" t="s">
        <v>281</v>
      </c>
      <c r="E172" s="1" t="s">
        <v>4675</v>
      </c>
      <c r="F172" s="1" t="s">
        <v>14</v>
      </c>
      <c r="G172" s="4" t="str">
        <f>"07652"</f>
        <v>07652</v>
      </c>
      <c r="H172" s="1">
        <v>19</v>
      </c>
      <c r="I172" s="1">
        <v>14.2</v>
      </c>
      <c r="J172" s="1">
        <v>0</v>
      </c>
      <c r="K172" s="1">
        <v>8</v>
      </c>
      <c r="L172" s="1" t="s">
        <v>286</v>
      </c>
      <c r="M172" s="1" t="s">
        <v>287</v>
      </c>
      <c r="N172" s="1" t="s">
        <v>12</v>
      </c>
      <c r="O172" s="1" t="s">
        <v>288</v>
      </c>
    </row>
    <row r="173" spans="1:15" x14ac:dyDescent="0.4">
      <c r="A173" s="1" t="s">
        <v>3095</v>
      </c>
      <c r="B173" s="1" t="s">
        <v>3074</v>
      </c>
      <c r="C173" s="1" t="s">
        <v>3096</v>
      </c>
      <c r="D173" s="1" t="s">
        <v>3097</v>
      </c>
      <c r="E173" s="1" t="s">
        <v>2962</v>
      </c>
      <c r="F173" s="1" t="s">
        <v>14</v>
      </c>
      <c r="G173" s="4" t="str">
        <f>"08852"</f>
        <v>08852</v>
      </c>
      <c r="H173" s="1">
        <v>75</v>
      </c>
      <c r="I173" s="1">
        <v>100</v>
      </c>
      <c r="J173" s="1">
        <v>0</v>
      </c>
      <c r="K173" s="1">
        <v>0</v>
      </c>
      <c r="L173" s="1" t="s">
        <v>968</v>
      </c>
      <c r="M173" s="1" t="s">
        <v>3091</v>
      </c>
      <c r="N173" s="1" t="s">
        <v>12</v>
      </c>
      <c r="O173" s="1" t="s">
        <v>3092</v>
      </c>
    </row>
    <row r="174" spans="1:15" x14ac:dyDescent="0.4">
      <c r="A174" s="1" t="s">
        <v>1699</v>
      </c>
      <c r="B174" s="1" t="s">
        <v>1698</v>
      </c>
      <c r="C174" s="1" t="s">
        <v>1701</v>
      </c>
      <c r="D174" s="1" t="s">
        <v>1702</v>
      </c>
      <c r="E174" s="1" t="s">
        <v>4680</v>
      </c>
      <c r="F174" s="1" t="s">
        <v>14</v>
      </c>
      <c r="G174" s="4" t="str">
        <f>"08352-0375"</f>
        <v>08352-0375</v>
      </c>
      <c r="H174" s="1">
        <v>56</v>
      </c>
      <c r="I174" s="1">
        <v>17.2</v>
      </c>
      <c r="J174" s="1">
        <v>0</v>
      </c>
      <c r="K174" s="1">
        <v>28</v>
      </c>
      <c r="L174" s="1" t="s">
        <v>1264</v>
      </c>
      <c r="M174" s="1" t="s">
        <v>323</v>
      </c>
      <c r="N174" s="1" t="s">
        <v>134</v>
      </c>
      <c r="O174" s="1" t="s">
        <v>1700</v>
      </c>
    </row>
    <row r="175" spans="1:15" x14ac:dyDescent="0.4">
      <c r="A175" s="1" t="s">
        <v>1156</v>
      </c>
      <c r="B175" s="1" t="s">
        <v>1155</v>
      </c>
      <c r="C175" s="1" t="s">
        <v>1160</v>
      </c>
      <c r="D175" s="1" t="s">
        <v>1161</v>
      </c>
      <c r="E175" s="1" t="s">
        <v>4676</v>
      </c>
      <c r="F175" s="1" t="s">
        <v>14</v>
      </c>
      <c r="G175" s="4" t="str">
        <f>"08065"</f>
        <v>08065</v>
      </c>
      <c r="H175" s="1">
        <v>99</v>
      </c>
      <c r="I175" s="1">
        <v>100</v>
      </c>
      <c r="J175" s="1">
        <v>0</v>
      </c>
      <c r="K175" s="1">
        <v>0</v>
      </c>
      <c r="L175" s="1" t="s">
        <v>1157</v>
      </c>
      <c r="M175" s="1" t="s">
        <v>1158</v>
      </c>
      <c r="N175" s="1" t="s">
        <v>744</v>
      </c>
      <c r="O175" s="1" t="s">
        <v>1159</v>
      </c>
    </row>
    <row r="176" spans="1:15" x14ac:dyDescent="0.4">
      <c r="A176" s="1" t="s">
        <v>2638</v>
      </c>
      <c r="B176" s="1" t="s">
        <v>2637</v>
      </c>
      <c r="C176" s="1" t="s">
        <v>2641</v>
      </c>
      <c r="D176" s="1" t="s">
        <v>2642</v>
      </c>
      <c r="E176" s="1" t="s">
        <v>4682</v>
      </c>
      <c r="F176" s="1" t="s">
        <v>14</v>
      </c>
      <c r="G176" s="4" t="str">
        <f>"08557"</f>
        <v>08557</v>
      </c>
      <c r="H176" s="1">
        <v>38</v>
      </c>
      <c r="I176" s="1">
        <v>9.4</v>
      </c>
      <c r="J176" s="1">
        <v>0</v>
      </c>
      <c r="K176" s="1">
        <v>33</v>
      </c>
      <c r="L176" s="1" t="s">
        <v>2639</v>
      </c>
      <c r="M176" s="1" t="s">
        <v>175</v>
      </c>
      <c r="N176" s="1" t="s">
        <v>105</v>
      </c>
      <c r="O176" s="1" t="s">
        <v>2640</v>
      </c>
    </row>
    <row r="177" spans="1:15" x14ac:dyDescent="0.4">
      <c r="A177" s="1" t="s">
        <v>1526</v>
      </c>
      <c r="B177" s="1" t="s">
        <v>1524</v>
      </c>
      <c r="C177" s="1" t="s">
        <v>1525</v>
      </c>
      <c r="D177" s="1" t="s">
        <v>1521</v>
      </c>
      <c r="E177" s="1" t="s">
        <v>4678</v>
      </c>
      <c r="F177" s="1" t="s">
        <v>14</v>
      </c>
      <c r="G177" s="4" t="str">
        <f>"08210"</f>
        <v>08210</v>
      </c>
      <c r="H177" s="1">
        <v>84</v>
      </c>
      <c r="I177" s="1">
        <v>34.700000000000003</v>
      </c>
      <c r="J177" s="1">
        <v>0</v>
      </c>
      <c r="K177" s="1">
        <v>58</v>
      </c>
      <c r="L177" s="1" t="s">
        <v>247</v>
      </c>
      <c r="M177" s="1" t="s">
        <v>1527</v>
      </c>
      <c r="N177" s="1" t="s">
        <v>12</v>
      </c>
      <c r="O177" s="1" t="s">
        <v>1528</v>
      </c>
    </row>
    <row r="178" spans="1:15" x14ac:dyDescent="0.4">
      <c r="A178" s="1" t="s">
        <v>4484</v>
      </c>
      <c r="B178" s="1" t="s">
        <v>4483</v>
      </c>
      <c r="C178" s="1" t="s">
        <v>4486</v>
      </c>
      <c r="D178" s="1" t="s">
        <v>4487</v>
      </c>
      <c r="E178" s="1" t="s">
        <v>4594</v>
      </c>
      <c r="F178" s="1" t="s">
        <v>14</v>
      </c>
      <c r="G178" s="4" t="str">
        <f>"07974"</f>
        <v>07974</v>
      </c>
      <c r="H178" s="1">
        <v>1</v>
      </c>
      <c r="I178" s="1">
        <v>1</v>
      </c>
      <c r="J178" s="1">
        <v>0</v>
      </c>
      <c r="K178" s="1">
        <v>2</v>
      </c>
      <c r="L178" s="1" t="s">
        <v>1839</v>
      </c>
      <c r="M178" s="1" t="s">
        <v>27</v>
      </c>
      <c r="N178" s="1" t="s">
        <v>12</v>
      </c>
      <c r="O178" s="1" t="s">
        <v>4485</v>
      </c>
    </row>
    <row r="179" spans="1:15" x14ac:dyDescent="0.4">
      <c r="A179" s="1" t="s">
        <v>3459</v>
      </c>
      <c r="B179" s="1" t="s">
        <v>3457</v>
      </c>
      <c r="C179" s="1" t="s">
        <v>3462</v>
      </c>
      <c r="D179" s="1" t="s">
        <v>3458</v>
      </c>
      <c r="E179" s="1" t="s">
        <v>1033</v>
      </c>
      <c r="F179" s="1" t="s">
        <v>14</v>
      </c>
      <c r="G179" s="4" t="str">
        <f>"07930"</f>
        <v>07930</v>
      </c>
      <c r="H179" s="1">
        <v>47</v>
      </c>
      <c r="I179" s="1">
        <v>13.2</v>
      </c>
      <c r="J179" s="1">
        <v>0</v>
      </c>
      <c r="K179" s="1">
        <v>61</v>
      </c>
      <c r="L179" s="1" t="s">
        <v>405</v>
      </c>
      <c r="M179" s="1" t="s">
        <v>3460</v>
      </c>
      <c r="N179" s="1" t="s">
        <v>12</v>
      </c>
      <c r="O179" s="1" t="s">
        <v>3461</v>
      </c>
    </row>
    <row r="180" spans="1:15" x14ac:dyDescent="0.4">
      <c r="A180" s="1" t="s">
        <v>1840</v>
      </c>
      <c r="B180" s="1" t="s">
        <v>1826</v>
      </c>
      <c r="C180" s="1" t="s">
        <v>1844</v>
      </c>
      <c r="D180" s="1" t="s">
        <v>1612</v>
      </c>
      <c r="E180" s="1" t="s">
        <v>4681</v>
      </c>
      <c r="F180" s="1" t="s">
        <v>14</v>
      </c>
      <c r="G180" s="4" t="str">
        <f>"07018-3939"</f>
        <v>07018-3939</v>
      </c>
      <c r="H180" s="1">
        <v>46</v>
      </c>
      <c r="I180" s="1">
        <v>12.1</v>
      </c>
      <c r="J180" s="1">
        <v>0</v>
      </c>
      <c r="K180" s="1">
        <v>56</v>
      </c>
      <c r="L180" s="1" t="s">
        <v>1841</v>
      </c>
      <c r="M180" s="1" t="s">
        <v>1842</v>
      </c>
      <c r="N180" s="1" t="s">
        <v>12</v>
      </c>
      <c r="O180" s="1" t="s">
        <v>1843</v>
      </c>
    </row>
    <row r="181" spans="1:15" x14ac:dyDescent="0.4">
      <c r="A181" s="1" t="s">
        <v>432</v>
      </c>
      <c r="B181" s="1" t="s">
        <v>431</v>
      </c>
      <c r="C181" s="1" t="s">
        <v>436</v>
      </c>
      <c r="D181" s="1" t="s">
        <v>437</v>
      </c>
      <c r="E181" s="1" t="s">
        <v>4675</v>
      </c>
      <c r="F181" s="1" t="s">
        <v>14</v>
      </c>
      <c r="G181" s="4" t="str">
        <f>"07631"</f>
        <v>07631</v>
      </c>
      <c r="H181" s="1">
        <v>268</v>
      </c>
      <c r="I181" s="1">
        <v>61.8</v>
      </c>
      <c r="J181" s="1">
        <v>0</v>
      </c>
      <c r="K181" s="1">
        <v>166</v>
      </c>
      <c r="L181" s="1" t="s">
        <v>433</v>
      </c>
      <c r="M181" s="1" t="s">
        <v>434</v>
      </c>
      <c r="N181" s="1" t="s">
        <v>12</v>
      </c>
      <c r="O181" s="1" t="s">
        <v>435</v>
      </c>
    </row>
    <row r="182" spans="1:15" x14ac:dyDescent="0.4">
      <c r="A182" s="1" t="s">
        <v>4366</v>
      </c>
      <c r="B182" s="1" t="s">
        <v>4361</v>
      </c>
      <c r="C182" s="1" t="s">
        <v>4368</v>
      </c>
      <c r="D182" s="1" t="s">
        <v>2423</v>
      </c>
      <c r="E182" s="1" t="s">
        <v>4594</v>
      </c>
      <c r="F182" s="1" t="s">
        <v>14</v>
      </c>
      <c r="G182" s="4" t="str">
        <f>"07207"</f>
        <v>07207</v>
      </c>
      <c r="H182" s="1">
        <v>310</v>
      </c>
      <c r="I182" s="1">
        <v>100</v>
      </c>
      <c r="J182" s="1">
        <v>0</v>
      </c>
      <c r="K182" s="1">
        <v>0</v>
      </c>
      <c r="L182" s="1" t="s">
        <v>601</v>
      </c>
      <c r="M182" s="1" t="s">
        <v>715</v>
      </c>
      <c r="N182" s="1" t="s">
        <v>12</v>
      </c>
      <c r="O182" s="1" t="s">
        <v>4367</v>
      </c>
    </row>
    <row r="183" spans="1:15" x14ac:dyDescent="0.4">
      <c r="A183" s="1" t="s">
        <v>933</v>
      </c>
      <c r="B183" s="1" t="s">
        <v>932</v>
      </c>
      <c r="C183" s="1" t="s">
        <v>937</v>
      </c>
      <c r="D183" s="1" t="s">
        <v>938</v>
      </c>
      <c r="E183" s="1" t="s">
        <v>4675</v>
      </c>
      <c r="F183" s="1" t="s">
        <v>14</v>
      </c>
      <c r="G183" s="4" t="str">
        <f>"07677"</f>
        <v>07677</v>
      </c>
      <c r="H183" s="1">
        <v>11</v>
      </c>
      <c r="I183" s="1">
        <v>2.2000000000000002</v>
      </c>
      <c r="J183" s="1">
        <v>0</v>
      </c>
      <c r="K183" s="1">
        <v>74</v>
      </c>
      <c r="L183" s="1" t="s">
        <v>934</v>
      </c>
      <c r="M183" s="1" t="s">
        <v>935</v>
      </c>
      <c r="N183" s="1" t="s">
        <v>12</v>
      </c>
      <c r="O183" s="1" t="s">
        <v>936</v>
      </c>
    </row>
    <row r="184" spans="1:15" x14ac:dyDescent="0.4">
      <c r="A184" s="1" t="s">
        <v>1704</v>
      </c>
      <c r="B184" s="1" t="s">
        <v>1703</v>
      </c>
      <c r="C184" s="1" t="s">
        <v>1706</v>
      </c>
      <c r="D184" s="1" t="s">
        <v>1707</v>
      </c>
      <c r="E184" s="1" t="s">
        <v>4680</v>
      </c>
      <c r="F184" s="1" t="s">
        <v>14</v>
      </c>
      <c r="G184" s="4" t="str">
        <f>"08345-9711"</f>
        <v>08345-9711</v>
      </c>
      <c r="H184" s="1">
        <v>22</v>
      </c>
      <c r="I184" s="1">
        <v>13.2</v>
      </c>
      <c r="J184" s="1">
        <v>0</v>
      </c>
      <c r="K184" s="1">
        <v>16</v>
      </c>
      <c r="L184" s="1" t="s">
        <v>384</v>
      </c>
      <c r="M184" s="1" t="s">
        <v>600</v>
      </c>
      <c r="N184" s="1" t="s">
        <v>12</v>
      </c>
      <c r="O184" s="1" t="s">
        <v>1705</v>
      </c>
    </row>
    <row r="185" spans="1:15" x14ac:dyDescent="0.4">
      <c r="A185" s="1" t="s">
        <v>35</v>
      </c>
      <c r="B185" s="1" t="s">
        <v>23</v>
      </c>
      <c r="C185" s="1" t="s">
        <v>39</v>
      </c>
      <c r="D185" s="1" t="s">
        <v>25</v>
      </c>
      <c r="E185" s="1" t="s">
        <v>4674</v>
      </c>
      <c r="F185" s="1" t="s">
        <v>14</v>
      </c>
      <c r="G185" s="4" t="str">
        <f>"08401"</f>
        <v>08401</v>
      </c>
      <c r="H185" s="1">
        <v>59</v>
      </c>
      <c r="I185" s="1">
        <v>10.8</v>
      </c>
      <c r="J185" s="1">
        <v>0</v>
      </c>
      <c r="K185" s="1">
        <v>55</v>
      </c>
      <c r="L185" s="1" t="s">
        <v>36</v>
      </c>
      <c r="M185" s="1" t="s">
        <v>37</v>
      </c>
      <c r="N185" s="1" t="s">
        <v>12</v>
      </c>
      <c r="O185" s="1" t="s">
        <v>38</v>
      </c>
    </row>
    <row r="186" spans="1:15" x14ac:dyDescent="0.4">
      <c r="A186" s="1" t="s">
        <v>4369</v>
      </c>
      <c r="B186" s="1" t="s">
        <v>4361</v>
      </c>
      <c r="C186" s="1" t="s">
        <v>4372</v>
      </c>
      <c r="D186" s="1" t="s">
        <v>2423</v>
      </c>
      <c r="E186" s="1" t="s">
        <v>4594</v>
      </c>
      <c r="F186" s="1" t="s">
        <v>14</v>
      </c>
      <c r="G186" s="4" t="str">
        <f>"07208"</f>
        <v>07208</v>
      </c>
      <c r="H186" s="1">
        <v>132</v>
      </c>
      <c r="I186" s="1">
        <v>16.8</v>
      </c>
      <c r="J186" s="1">
        <v>0</v>
      </c>
      <c r="K186" s="1">
        <v>79</v>
      </c>
      <c r="L186" s="1" t="s">
        <v>457</v>
      </c>
      <c r="M186" s="1" t="s">
        <v>4370</v>
      </c>
      <c r="N186" s="1" t="s">
        <v>12</v>
      </c>
      <c r="O186" s="1" t="s">
        <v>4371</v>
      </c>
    </row>
    <row r="187" spans="1:15" x14ac:dyDescent="0.4">
      <c r="A187" s="1" t="s">
        <v>1441</v>
      </c>
      <c r="B187" s="1" t="s">
        <v>1440</v>
      </c>
      <c r="C187" s="1" t="s">
        <v>1444</v>
      </c>
      <c r="D187" s="1" t="s">
        <v>1445</v>
      </c>
      <c r="E187" s="1" t="s">
        <v>1271</v>
      </c>
      <c r="F187" s="1" t="s">
        <v>14</v>
      </c>
      <c r="G187" s="4" t="str">
        <f>"08021-6204"</f>
        <v>08021-6204</v>
      </c>
      <c r="H187" s="1">
        <v>46</v>
      </c>
      <c r="I187" s="1">
        <v>12.6</v>
      </c>
      <c r="J187" s="1">
        <v>0</v>
      </c>
      <c r="K187" s="1">
        <v>56</v>
      </c>
      <c r="L187" s="1" t="s">
        <v>174</v>
      </c>
      <c r="M187" s="1" t="s">
        <v>1442</v>
      </c>
      <c r="N187" s="1" t="s">
        <v>12</v>
      </c>
      <c r="O187" s="1" t="s">
        <v>1443</v>
      </c>
    </row>
    <row r="188" spans="1:15" x14ac:dyDescent="0.4">
      <c r="A188" s="1" t="s">
        <v>4373</v>
      </c>
      <c r="B188" s="1" t="s">
        <v>4361</v>
      </c>
      <c r="C188" s="1" t="s">
        <v>4376</v>
      </c>
      <c r="D188" s="1" t="s">
        <v>2423</v>
      </c>
      <c r="E188" s="1" t="s">
        <v>4594</v>
      </c>
      <c r="F188" s="1" t="s">
        <v>14</v>
      </c>
      <c r="G188" s="4" t="str">
        <f>"07208"</f>
        <v>07208</v>
      </c>
      <c r="H188" s="1">
        <v>102</v>
      </c>
      <c r="I188" s="1">
        <v>10.9</v>
      </c>
      <c r="J188" s="1">
        <v>0</v>
      </c>
      <c r="K188" s="1">
        <v>106</v>
      </c>
      <c r="L188" s="1" t="s">
        <v>383</v>
      </c>
      <c r="M188" s="1" t="s">
        <v>4374</v>
      </c>
      <c r="N188" s="1" t="s">
        <v>12</v>
      </c>
      <c r="O188" s="1" t="s">
        <v>4375</v>
      </c>
    </row>
    <row r="189" spans="1:15" x14ac:dyDescent="0.4">
      <c r="A189" s="1" t="s">
        <v>4531</v>
      </c>
      <c r="B189" s="1" t="s">
        <v>4529</v>
      </c>
      <c r="C189" s="1" t="s">
        <v>4533</v>
      </c>
      <c r="D189" s="1" t="s">
        <v>4530</v>
      </c>
      <c r="E189" s="1" t="s">
        <v>4594</v>
      </c>
      <c r="F189" s="1" t="s">
        <v>14</v>
      </c>
      <c r="G189" s="4" t="str">
        <f>"07203-2736"</f>
        <v>07203-2736</v>
      </c>
      <c r="H189" s="1">
        <v>24</v>
      </c>
      <c r="I189" s="1">
        <v>7.6</v>
      </c>
      <c r="J189" s="1">
        <v>0</v>
      </c>
      <c r="K189" s="1">
        <v>3</v>
      </c>
      <c r="L189" s="1" t="s">
        <v>199</v>
      </c>
      <c r="M189" s="1" t="s">
        <v>155</v>
      </c>
      <c r="N189" s="1" t="s">
        <v>12</v>
      </c>
      <c r="O189" s="1" t="s">
        <v>4532</v>
      </c>
    </row>
    <row r="190" spans="1:15" x14ac:dyDescent="0.4">
      <c r="A190" s="1" t="s">
        <v>2442</v>
      </c>
      <c r="B190" s="1" t="s">
        <v>2416</v>
      </c>
      <c r="C190" s="1" t="s">
        <v>2446</v>
      </c>
      <c r="D190" s="1" t="s">
        <v>1624</v>
      </c>
      <c r="E190" s="1" t="s">
        <v>2239</v>
      </c>
      <c r="F190" s="1" t="s">
        <v>14</v>
      </c>
      <c r="G190" s="4" t="str">
        <f>"07306-7006"</f>
        <v>07306-7006</v>
      </c>
      <c r="H190" s="1">
        <v>42</v>
      </c>
      <c r="I190" s="1">
        <v>13.1</v>
      </c>
      <c r="J190" s="1">
        <v>0</v>
      </c>
      <c r="K190" s="1">
        <v>48</v>
      </c>
      <c r="L190" s="1" t="s">
        <v>2443</v>
      </c>
      <c r="M190" s="1" t="s">
        <v>2444</v>
      </c>
      <c r="N190" s="1" t="s">
        <v>12</v>
      </c>
      <c r="O190" s="1" t="s">
        <v>2445</v>
      </c>
    </row>
    <row r="191" spans="1:15" x14ac:dyDescent="0.4">
      <c r="A191" s="1" t="s">
        <v>1985</v>
      </c>
      <c r="B191" s="1" t="s">
        <v>1952</v>
      </c>
      <c r="C191" s="1" t="s">
        <v>1988</v>
      </c>
      <c r="D191" s="1" t="s">
        <v>1610</v>
      </c>
      <c r="E191" s="1" t="s">
        <v>4681</v>
      </c>
      <c r="F191" s="1" t="s">
        <v>14</v>
      </c>
      <c r="G191" s="4" t="str">
        <f>"07104-2002"</f>
        <v>07104-2002</v>
      </c>
      <c r="H191" s="1">
        <v>44</v>
      </c>
      <c r="I191" s="1">
        <v>7.7</v>
      </c>
      <c r="J191" s="1">
        <v>0</v>
      </c>
      <c r="K191" s="1">
        <v>46</v>
      </c>
      <c r="L191" s="1" t="s">
        <v>1986</v>
      </c>
      <c r="M191" s="1" t="s">
        <v>1684</v>
      </c>
      <c r="N191" s="1" t="s">
        <v>12</v>
      </c>
      <c r="O191" s="1" t="s">
        <v>1987</v>
      </c>
    </row>
    <row r="192" spans="1:15" x14ac:dyDescent="0.4">
      <c r="A192" s="1" t="s">
        <v>3956</v>
      </c>
      <c r="B192" s="1" t="s">
        <v>3941</v>
      </c>
      <c r="C192" s="1" t="s">
        <v>3959</v>
      </c>
      <c r="D192" s="1" t="s">
        <v>1591</v>
      </c>
      <c r="E192" s="1" t="s">
        <v>1651</v>
      </c>
      <c r="F192" s="1" t="s">
        <v>14</v>
      </c>
      <c r="G192" s="4" t="str">
        <f>"07503"</f>
        <v>07503</v>
      </c>
      <c r="H192" s="1">
        <v>15</v>
      </c>
      <c r="I192" s="1">
        <v>2.6</v>
      </c>
      <c r="J192" s="1">
        <v>0</v>
      </c>
      <c r="K192" s="1">
        <v>43</v>
      </c>
      <c r="L192" s="1" t="s">
        <v>2998</v>
      </c>
      <c r="M192" s="1" t="s">
        <v>3957</v>
      </c>
      <c r="N192" s="1" t="s">
        <v>12</v>
      </c>
      <c r="O192" s="1" t="s">
        <v>3958</v>
      </c>
    </row>
    <row r="193" spans="1:15" x14ac:dyDescent="0.4">
      <c r="A193" s="1" t="s">
        <v>1260</v>
      </c>
      <c r="B193" s="1" t="s">
        <v>1254</v>
      </c>
      <c r="C193" s="1" t="s">
        <v>1263</v>
      </c>
      <c r="D193" s="1" t="s">
        <v>1212</v>
      </c>
      <c r="E193" s="1" t="s">
        <v>1271</v>
      </c>
      <c r="F193" s="1" t="s">
        <v>14</v>
      </c>
      <c r="G193" s="4" t="str">
        <f>"08105"</f>
        <v>08105</v>
      </c>
      <c r="H193" s="1">
        <v>45</v>
      </c>
      <c r="I193" s="1">
        <v>8.6999999999999993</v>
      </c>
      <c r="J193" s="1">
        <v>0</v>
      </c>
      <c r="K193" s="1">
        <v>54</v>
      </c>
      <c r="L193" s="1" t="s">
        <v>376</v>
      </c>
      <c r="M193" s="1" t="s">
        <v>1261</v>
      </c>
      <c r="N193" s="1" t="s">
        <v>12</v>
      </c>
      <c r="O193" s="1" t="s">
        <v>1262</v>
      </c>
    </row>
    <row r="194" spans="1:15" x14ac:dyDescent="0.4">
      <c r="A194" s="1" t="s">
        <v>4377</v>
      </c>
      <c r="B194" s="1" t="s">
        <v>4361</v>
      </c>
      <c r="C194" s="1" t="s">
        <v>4381</v>
      </c>
      <c r="D194" s="1" t="s">
        <v>2423</v>
      </c>
      <c r="E194" s="1" t="s">
        <v>4594</v>
      </c>
      <c r="F194" s="1" t="s">
        <v>14</v>
      </c>
      <c r="G194" s="4" t="str">
        <f>"07206"</f>
        <v>07206</v>
      </c>
      <c r="H194" s="1">
        <v>301</v>
      </c>
      <c r="I194" s="1">
        <v>100</v>
      </c>
      <c r="J194" s="1">
        <v>0</v>
      </c>
      <c r="K194" s="1">
        <v>0</v>
      </c>
      <c r="L194" s="1" t="s">
        <v>4378</v>
      </c>
      <c r="M194" s="1" t="s">
        <v>4379</v>
      </c>
      <c r="N194" s="1" t="s">
        <v>12</v>
      </c>
      <c r="O194" s="1" t="s">
        <v>4380</v>
      </c>
    </row>
    <row r="195" spans="1:15" x14ac:dyDescent="0.4">
      <c r="A195" s="1" t="s">
        <v>4706</v>
      </c>
      <c r="B195" s="1" t="s">
        <v>3941</v>
      </c>
      <c r="C195" s="1" t="s">
        <v>3963</v>
      </c>
      <c r="D195" s="1" t="s">
        <v>1591</v>
      </c>
      <c r="E195" s="1" t="s">
        <v>1651</v>
      </c>
      <c r="F195" s="1" t="s">
        <v>14</v>
      </c>
      <c r="G195" s="4" t="str">
        <f>"07513"</f>
        <v>07513</v>
      </c>
      <c r="H195" s="1">
        <v>52</v>
      </c>
      <c r="I195" s="1">
        <v>10.1</v>
      </c>
      <c r="J195" s="1">
        <v>0</v>
      </c>
      <c r="K195" s="1">
        <v>51</v>
      </c>
      <c r="L195" s="1" t="s">
        <v>3960</v>
      </c>
      <c r="M195" s="1" t="s">
        <v>3961</v>
      </c>
      <c r="N195" s="1" t="s">
        <v>12</v>
      </c>
      <c r="O195" s="1" t="s">
        <v>3962</v>
      </c>
    </row>
    <row r="196" spans="1:15" x14ac:dyDescent="0.4">
      <c r="A196" s="1" t="s">
        <v>2447</v>
      </c>
      <c r="B196" s="1" t="s">
        <v>2416</v>
      </c>
      <c r="C196" s="1" t="s">
        <v>2451</v>
      </c>
      <c r="D196" s="1" t="s">
        <v>1624</v>
      </c>
      <c r="E196" s="1" t="s">
        <v>2239</v>
      </c>
      <c r="F196" s="1" t="s">
        <v>14</v>
      </c>
      <c r="G196" s="4" t="str">
        <f>"07305-2626"</f>
        <v>07305-2626</v>
      </c>
      <c r="H196" s="1">
        <v>108</v>
      </c>
      <c r="I196" s="1">
        <v>17.8</v>
      </c>
      <c r="J196" s="1">
        <v>0</v>
      </c>
      <c r="K196" s="1">
        <v>61</v>
      </c>
      <c r="L196" s="1" t="s">
        <v>2448</v>
      </c>
      <c r="M196" s="1" t="s">
        <v>2449</v>
      </c>
      <c r="N196" s="1" t="s">
        <v>12</v>
      </c>
      <c r="O196" s="1" t="s">
        <v>2450</v>
      </c>
    </row>
    <row r="197" spans="1:15" x14ac:dyDescent="0.4">
      <c r="A197" s="1" t="s">
        <v>2452</v>
      </c>
      <c r="B197" s="1" t="s">
        <v>2416</v>
      </c>
      <c r="C197" s="1" t="s">
        <v>2455</v>
      </c>
      <c r="D197" s="1" t="s">
        <v>1624</v>
      </c>
      <c r="E197" s="1" t="s">
        <v>2239</v>
      </c>
      <c r="F197" s="1" t="s">
        <v>14</v>
      </c>
      <c r="G197" s="4" t="str">
        <f>"07302-2235"</f>
        <v>07302-2235</v>
      </c>
      <c r="H197" s="1">
        <v>105</v>
      </c>
      <c r="I197" s="1">
        <v>16.100000000000001</v>
      </c>
      <c r="J197" s="1">
        <v>0</v>
      </c>
      <c r="K197" s="1">
        <v>63</v>
      </c>
      <c r="L197" s="1" t="s">
        <v>368</v>
      </c>
      <c r="M197" s="1" t="s">
        <v>2453</v>
      </c>
      <c r="N197" s="1" t="s">
        <v>12</v>
      </c>
      <c r="O197" s="1" t="s">
        <v>2454</v>
      </c>
    </row>
    <row r="198" spans="1:15" x14ac:dyDescent="0.4">
      <c r="A198" s="1" t="s">
        <v>4382</v>
      </c>
      <c r="B198" s="1" t="s">
        <v>4361</v>
      </c>
      <c r="C198" s="1" t="s">
        <v>4385</v>
      </c>
      <c r="D198" s="1" t="s">
        <v>2423</v>
      </c>
      <c r="E198" s="1" t="s">
        <v>4594</v>
      </c>
      <c r="F198" s="1" t="s">
        <v>14</v>
      </c>
      <c r="G198" s="4" t="str">
        <f>"07202"</f>
        <v>07202</v>
      </c>
      <c r="H198" s="1">
        <v>135</v>
      </c>
      <c r="I198" s="1">
        <v>18.8</v>
      </c>
      <c r="J198" s="1">
        <v>0</v>
      </c>
      <c r="K198" s="1">
        <v>65</v>
      </c>
      <c r="L198" s="1" t="s">
        <v>1862</v>
      </c>
      <c r="M198" s="1" t="s">
        <v>4383</v>
      </c>
      <c r="N198" s="1" t="s">
        <v>12</v>
      </c>
      <c r="O198" s="1" t="s">
        <v>4384</v>
      </c>
    </row>
    <row r="199" spans="1:15" x14ac:dyDescent="0.4">
      <c r="A199" s="1" t="s">
        <v>2456</v>
      </c>
      <c r="B199" s="1" t="s">
        <v>2416</v>
      </c>
      <c r="C199" s="1" t="s">
        <v>2458</v>
      </c>
      <c r="D199" s="1" t="s">
        <v>1624</v>
      </c>
      <c r="E199" s="1" t="s">
        <v>2239</v>
      </c>
      <c r="F199" s="1" t="s">
        <v>14</v>
      </c>
      <c r="G199" s="4" t="str">
        <f>"07304-1212"</f>
        <v>07304-1212</v>
      </c>
      <c r="H199" s="1">
        <v>45</v>
      </c>
      <c r="I199" s="1">
        <v>14.2</v>
      </c>
      <c r="J199" s="1">
        <v>0</v>
      </c>
      <c r="K199" s="1">
        <v>45</v>
      </c>
      <c r="L199" s="1" t="s">
        <v>360</v>
      </c>
      <c r="M199" s="1" t="s">
        <v>4695</v>
      </c>
      <c r="N199" s="1" t="s">
        <v>12</v>
      </c>
      <c r="O199" s="1" t="s">
        <v>2457</v>
      </c>
    </row>
    <row r="200" spans="1:15" x14ac:dyDescent="0.4">
      <c r="A200" s="1" t="s">
        <v>1989</v>
      </c>
      <c r="B200" s="1" t="s">
        <v>1952</v>
      </c>
      <c r="C200" s="1" t="s">
        <v>1993</v>
      </c>
      <c r="D200" s="1" t="s">
        <v>1610</v>
      </c>
      <c r="E200" s="1" t="s">
        <v>4681</v>
      </c>
      <c r="F200" s="1" t="s">
        <v>14</v>
      </c>
      <c r="G200" s="4" t="str">
        <f>"07107-1799"</f>
        <v>07107-1799</v>
      </c>
      <c r="H200" s="1">
        <v>45</v>
      </c>
      <c r="I200" s="1">
        <v>6.5</v>
      </c>
      <c r="J200" s="1">
        <v>0</v>
      </c>
      <c r="K200" s="1">
        <v>79</v>
      </c>
      <c r="L200" s="1" t="s">
        <v>1990</v>
      </c>
      <c r="M200" s="1" t="s">
        <v>1991</v>
      </c>
      <c r="N200" s="1" t="s">
        <v>12</v>
      </c>
      <c r="O200" s="1" t="s">
        <v>1992</v>
      </c>
    </row>
    <row r="201" spans="1:15" x14ac:dyDescent="0.4">
      <c r="A201" s="1" t="s">
        <v>4286</v>
      </c>
      <c r="B201" s="1" t="s">
        <v>4285</v>
      </c>
      <c r="C201" s="1" t="s">
        <v>4289</v>
      </c>
      <c r="D201" s="1" t="s">
        <v>4290</v>
      </c>
      <c r="E201" s="1" t="s">
        <v>4687</v>
      </c>
      <c r="F201" s="1" t="s">
        <v>14</v>
      </c>
      <c r="G201" s="4" t="str">
        <f>"07843"</f>
        <v>07843</v>
      </c>
      <c r="H201" s="1">
        <v>64</v>
      </c>
      <c r="I201" s="1">
        <v>22.2</v>
      </c>
      <c r="J201" s="1">
        <v>0</v>
      </c>
      <c r="K201" s="1">
        <v>108</v>
      </c>
      <c r="L201" s="1" t="s">
        <v>291</v>
      </c>
      <c r="M201" s="1" t="s">
        <v>4287</v>
      </c>
      <c r="N201" s="1" t="s">
        <v>12</v>
      </c>
      <c r="O201" s="1" t="s">
        <v>4288</v>
      </c>
    </row>
    <row r="202" spans="1:15" x14ac:dyDescent="0.4">
      <c r="A202" s="1" t="s">
        <v>336</v>
      </c>
      <c r="B202" s="1" t="s">
        <v>332</v>
      </c>
      <c r="C202" s="1" t="s">
        <v>340</v>
      </c>
      <c r="D202" s="1" t="s">
        <v>333</v>
      </c>
      <c r="E202" s="1" t="s">
        <v>4675</v>
      </c>
      <c r="F202" s="1" t="s">
        <v>14</v>
      </c>
      <c r="G202" s="4" t="str">
        <f>"07603"</f>
        <v>07603</v>
      </c>
      <c r="H202" s="1">
        <v>33</v>
      </c>
      <c r="I202" s="1">
        <v>10.5</v>
      </c>
      <c r="J202" s="1">
        <v>0</v>
      </c>
      <c r="K202" s="1">
        <v>48</v>
      </c>
      <c r="L202" s="1" t="s">
        <v>337</v>
      </c>
      <c r="M202" s="1" t="s">
        <v>338</v>
      </c>
      <c r="N202" s="1" t="s">
        <v>12</v>
      </c>
      <c r="O202" s="1" t="s">
        <v>339</v>
      </c>
    </row>
    <row r="203" spans="1:15" x14ac:dyDescent="0.4">
      <c r="A203" s="1" t="s">
        <v>3690</v>
      </c>
      <c r="B203" s="1" t="s">
        <v>3689</v>
      </c>
      <c r="C203" s="1" t="s">
        <v>3692</v>
      </c>
      <c r="D203" s="1" t="s">
        <v>3693</v>
      </c>
      <c r="E203" s="1" t="s">
        <v>4685</v>
      </c>
      <c r="F203" s="1" t="s">
        <v>14</v>
      </c>
      <c r="G203" s="4" t="str">
        <f>"08092"</f>
        <v>08092</v>
      </c>
      <c r="H203" s="1">
        <v>29</v>
      </c>
      <c r="I203" s="1">
        <v>21.3</v>
      </c>
      <c r="J203" s="1">
        <v>0</v>
      </c>
      <c r="K203" s="1">
        <v>10</v>
      </c>
      <c r="L203" s="1" t="s">
        <v>441</v>
      </c>
      <c r="M203" s="1" t="s">
        <v>2415</v>
      </c>
      <c r="N203" s="1" t="s">
        <v>12</v>
      </c>
      <c r="O203" s="1" t="s">
        <v>3691</v>
      </c>
    </row>
    <row r="204" spans="1:15" x14ac:dyDescent="0.4">
      <c r="A204" s="1" t="s">
        <v>3208</v>
      </c>
      <c r="B204" s="1" t="s">
        <v>3207</v>
      </c>
      <c r="C204" s="1" t="s">
        <v>3211</v>
      </c>
      <c r="D204" s="1" t="s">
        <v>3199</v>
      </c>
      <c r="E204" s="1" t="s">
        <v>4684</v>
      </c>
      <c r="F204" s="1" t="s">
        <v>14</v>
      </c>
      <c r="G204" s="4" t="str">
        <f>"07728"</f>
        <v>07728</v>
      </c>
      <c r="H204" s="1">
        <v>95</v>
      </c>
      <c r="I204" s="1">
        <v>100</v>
      </c>
      <c r="J204" s="1">
        <v>0</v>
      </c>
      <c r="K204" s="1">
        <v>0</v>
      </c>
      <c r="L204" s="1" t="s">
        <v>178</v>
      </c>
      <c r="M204" s="1" t="s">
        <v>3209</v>
      </c>
      <c r="N204" s="1" t="s">
        <v>12</v>
      </c>
      <c r="O204" s="1" t="s">
        <v>3210</v>
      </c>
    </row>
    <row r="205" spans="1:15" x14ac:dyDescent="0.4">
      <c r="A205" s="1" t="s">
        <v>2591</v>
      </c>
      <c r="B205" s="1" t="s">
        <v>2589</v>
      </c>
      <c r="C205" s="1" t="s">
        <v>2594</v>
      </c>
      <c r="D205" s="1" t="s">
        <v>2590</v>
      </c>
      <c r="E205" s="1" t="s">
        <v>2239</v>
      </c>
      <c r="F205" s="1" t="s">
        <v>14</v>
      </c>
      <c r="G205" s="4" t="str">
        <f>"07093-2614"</f>
        <v>07093-2614</v>
      </c>
      <c r="H205" s="1">
        <v>395</v>
      </c>
      <c r="I205" s="1">
        <v>100</v>
      </c>
      <c r="J205" s="1">
        <v>0</v>
      </c>
      <c r="K205" s="1">
        <v>0</v>
      </c>
      <c r="L205" s="1" t="s">
        <v>1223</v>
      </c>
      <c r="M205" s="1" t="s">
        <v>2592</v>
      </c>
      <c r="N205" s="1" t="s">
        <v>12</v>
      </c>
      <c r="O205" s="1" t="s">
        <v>2593</v>
      </c>
    </row>
    <row r="206" spans="1:15" x14ac:dyDescent="0.4">
      <c r="A206" s="1" t="s">
        <v>2644</v>
      </c>
      <c r="B206" s="1" t="s">
        <v>2643</v>
      </c>
      <c r="C206" s="1" t="s">
        <v>2647</v>
      </c>
      <c r="D206" s="1" t="s">
        <v>2648</v>
      </c>
      <c r="E206" s="1" t="s">
        <v>4682</v>
      </c>
      <c r="F206" s="1" t="s">
        <v>14</v>
      </c>
      <c r="G206" s="4" t="str">
        <f>"08551"</f>
        <v>08551</v>
      </c>
      <c r="H206" s="1">
        <v>50</v>
      </c>
      <c r="I206" s="1">
        <v>12.6</v>
      </c>
      <c r="J206" s="1">
        <v>0</v>
      </c>
      <c r="K206" s="1">
        <v>43</v>
      </c>
      <c r="L206" s="1" t="s">
        <v>787</v>
      </c>
      <c r="M206" s="1" t="s">
        <v>2645</v>
      </c>
      <c r="N206" s="1" t="s">
        <v>12</v>
      </c>
      <c r="O206" s="1" t="s">
        <v>2646</v>
      </c>
    </row>
    <row r="207" spans="1:15" x14ac:dyDescent="0.4">
      <c r="A207" s="1" t="s">
        <v>3469</v>
      </c>
      <c r="B207" s="1" t="s">
        <v>3463</v>
      </c>
      <c r="C207" s="1" t="s">
        <v>3472</v>
      </c>
      <c r="D207" s="1" t="s">
        <v>3468</v>
      </c>
      <c r="E207" s="1" t="s">
        <v>1033</v>
      </c>
      <c r="F207" s="1" t="s">
        <v>14</v>
      </c>
      <c r="G207" s="4" t="str">
        <f>"07801"</f>
        <v>07801</v>
      </c>
      <c r="H207" s="1">
        <v>15</v>
      </c>
      <c r="I207" s="1">
        <v>3.6</v>
      </c>
      <c r="J207" s="1">
        <v>0</v>
      </c>
      <c r="K207" s="1">
        <v>52</v>
      </c>
      <c r="L207" s="1" t="s">
        <v>1173</v>
      </c>
      <c r="M207" s="1" t="s">
        <v>3470</v>
      </c>
      <c r="N207" s="1" t="s">
        <v>12</v>
      </c>
      <c r="O207" s="1" t="s">
        <v>3471</v>
      </c>
    </row>
    <row r="208" spans="1:15" x14ac:dyDescent="0.4">
      <c r="A208" s="1" t="s">
        <v>3469</v>
      </c>
      <c r="B208" s="1" t="s">
        <v>3831</v>
      </c>
      <c r="C208" s="1" t="s">
        <v>3837</v>
      </c>
      <c r="D208" s="1" t="s">
        <v>3783</v>
      </c>
      <c r="E208" s="1" t="s">
        <v>1033</v>
      </c>
      <c r="F208" s="1" t="s">
        <v>14</v>
      </c>
      <c r="G208" s="4" t="str">
        <f>"08753"</f>
        <v>08753</v>
      </c>
      <c r="H208" s="1">
        <v>15</v>
      </c>
      <c r="I208" s="1">
        <v>3.6</v>
      </c>
      <c r="J208" s="1">
        <v>0</v>
      </c>
      <c r="K208" s="1">
        <v>52</v>
      </c>
      <c r="L208" s="1" t="s">
        <v>989</v>
      </c>
      <c r="M208" s="1" t="s">
        <v>1614</v>
      </c>
      <c r="N208" s="1" t="s">
        <v>12</v>
      </c>
      <c r="O208" s="1" t="s">
        <v>3836</v>
      </c>
    </row>
    <row r="209" spans="1:15" x14ac:dyDescent="0.4">
      <c r="A209" s="1" t="s">
        <v>4206</v>
      </c>
      <c r="B209" s="1" t="s">
        <v>4205</v>
      </c>
      <c r="C209" s="1" t="s">
        <v>4208</v>
      </c>
      <c r="D209" s="1" t="s">
        <v>4209</v>
      </c>
      <c r="E209" s="1" t="s">
        <v>1597</v>
      </c>
      <c r="F209" s="1" t="s">
        <v>14</v>
      </c>
      <c r="G209" s="4" t="str">
        <f>"07060-4421"</f>
        <v>07060-4421</v>
      </c>
      <c r="H209" s="1">
        <v>44</v>
      </c>
      <c r="I209" s="1">
        <v>9.8000000000000007</v>
      </c>
      <c r="J209" s="1">
        <v>0</v>
      </c>
      <c r="K209" s="1">
        <v>74</v>
      </c>
      <c r="L209" s="1" t="s">
        <v>368</v>
      </c>
      <c r="M209" s="1" t="s">
        <v>1102</v>
      </c>
      <c r="N209" s="1" t="s">
        <v>12</v>
      </c>
      <c r="O209" s="1" t="s">
        <v>4207</v>
      </c>
    </row>
    <row r="210" spans="1:15" x14ac:dyDescent="0.4">
      <c r="A210" s="1" t="s">
        <v>1995</v>
      </c>
      <c r="B210" s="1" t="s">
        <v>1952</v>
      </c>
      <c r="C210" s="1" t="s">
        <v>1999</v>
      </c>
      <c r="D210" s="1" t="s">
        <v>1389</v>
      </c>
      <c r="E210" s="1" t="s">
        <v>4681</v>
      </c>
      <c r="F210" s="1" t="s">
        <v>14</v>
      </c>
      <c r="G210" s="4" t="str">
        <f>"07105"</f>
        <v>07105</v>
      </c>
      <c r="H210" s="1">
        <v>118</v>
      </c>
      <c r="I210" s="1">
        <v>13.8</v>
      </c>
      <c r="J210" s="1">
        <v>0</v>
      </c>
      <c r="K210" s="1">
        <v>75</v>
      </c>
      <c r="L210" s="1" t="s">
        <v>1996</v>
      </c>
      <c r="M210" s="1" t="s">
        <v>1997</v>
      </c>
      <c r="N210" s="1" t="s">
        <v>12</v>
      </c>
      <c r="O210" s="1" t="s">
        <v>1998</v>
      </c>
    </row>
    <row r="211" spans="1:15" x14ac:dyDescent="0.4">
      <c r="A211" s="1" t="s">
        <v>1012</v>
      </c>
      <c r="B211" s="1" t="s">
        <v>1011</v>
      </c>
      <c r="C211" s="1" t="s">
        <v>1016</v>
      </c>
      <c r="D211" s="1" t="s">
        <v>1017</v>
      </c>
      <c r="E211" s="1" t="s">
        <v>4676</v>
      </c>
      <c r="F211" s="1" t="s">
        <v>14</v>
      </c>
      <c r="G211" s="4" t="str">
        <f>"08060-9626"</f>
        <v>08060-9626</v>
      </c>
      <c r="H211" s="1">
        <v>63</v>
      </c>
      <c r="I211" s="1">
        <v>10.5</v>
      </c>
      <c r="J211" s="1">
        <v>0</v>
      </c>
      <c r="K211" s="1">
        <v>66</v>
      </c>
      <c r="L211" s="1" t="s">
        <v>1013</v>
      </c>
      <c r="M211" s="1" t="s">
        <v>1014</v>
      </c>
      <c r="N211" s="1" t="s">
        <v>134</v>
      </c>
      <c r="O211" s="1" t="s">
        <v>1015</v>
      </c>
    </row>
    <row r="212" spans="1:15" x14ac:dyDescent="0.4">
      <c r="A212" s="1" t="s">
        <v>3575</v>
      </c>
      <c r="B212" s="1" t="s">
        <v>3573</v>
      </c>
      <c r="C212" s="1" t="s">
        <v>3578</v>
      </c>
      <c r="D212" s="1" t="s">
        <v>3574</v>
      </c>
      <c r="E212" s="1" t="s">
        <v>1033</v>
      </c>
      <c r="F212" s="1" t="s">
        <v>14</v>
      </c>
      <c r="G212" s="4" t="str">
        <f>"07054-2619"</f>
        <v>07054-2619</v>
      </c>
      <c r="H212" s="1">
        <v>31</v>
      </c>
      <c r="I212" s="1">
        <v>8.5</v>
      </c>
      <c r="J212" s="1">
        <v>0</v>
      </c>
      <c r="K212" s="1">
        <v>36</v>
      </c>
      <c r="L212" s="1" t="s">
        <v>3576</v>
      </c>
      <c r="M212" s="1" t="s">
        <v>1570</v>
      </c>
      <c r="N212" s="1" t="s">
        <v>12</v>
      </c>
      <c r="O212" s="1" t="s">
        <v>3577</v>
      </c>
    </row>
    <row r="213" spans="1:15" x14ac:dyDescent="0.4">
      <c r="A213" s="1" t="s">
        <v>1845</v>
      </c>
      <c r="B213" s="1" t="s">
        <v>1826</v>
      </c>
      <c r="C213" s="1" t="s">
        <v>1849</v>
      </c>
      <c r="D213" s="1" t="s">
        <v>1612</v>
      </c>
      <c r="E213" s="1" t="s">
        <v>4681</v>
      </c>
      <c r="F213" s="1" t="s">
        <v>14</v>
      </c>
      <c r="G213" s="4" t="str">
        <f>"07018-2802"</f>
        <v>07018-2802</v>
      </c>
      <c r="H213" s="1">
        <v>30</v>
      </c>
      <c r="I213" s="1">
        <v>11.2</v>
      </c>
      <c r="J213" s="1">
        <v>0</v>
      </c>
      <c r="K213" s="1">
        <v>34</v>
      </c>
      <c r="L213" s="1" t="s">
        <v>1846</v>
      </c>
      <c r="M213" s="1" t="s">
        <v>1847</v>
      </c>
      <c r="N213" s="1" t="s">
        <v>12</v>
      </c>
      <c r="O213" s="1" t="s">
        <v>1848</v>
      </c>
    </row>
    <row r="214" spans="1:15" x14ac:dyDescent="0.4">
      <c r="A214" s="1" t="s">
        <v>2907</v>
      </c>
      <c r="B214" s="1" t="s">
        <v>2902</v>
      </c>
      <c r="C214" s="1" t="s">
        <v>2910</v>
      </c>
      <c r="D214" s="1" t="s">
        <v>2911</v>
      </c>
      <c r="E214" s="1" t="s">
        <v>2962</v>
      </c>
      <c r="F214" s="1" t="s">
        <v>14</v>
      </c>
      <c r="G214" s="4" t="str">
        <f>"08817"</f>
        <v>08817</v>
      </c>
      <c r="H214" s="1">
        <v>46</v>
      </c>
      <c r="I214" s="1">
        <v>88.5</v>
      </c>
      <c r="J214" s="1">
        <v>0</v>
      </c>
      <c r="K214" s="1">
        <v>0</v>
      </c>
      <c r="L214" s="1" t="s">
        <v>265</v>
      </c>
      <c r="M214" s="1" t="s">
        <v>2908</v>
      </c>
      <c r="N214" s="1" t="s">
        <v>105</v>
      </c>
      <c r="O214" s="1" t="s">
        <v>2909</v>
      </c>
    </row>
    <row r="215" spans="1:15" x14ac:dyDescent="0.4">
      <c r="A215" s="1" t="s">
        <v>3556</v>
      </c>
      <c r="B215" s="1" t="s">
        <v>3555</v>
      </c>
      <c r="C215" s="1" t="s">
        <v>3559</v>
      </c>
      <c r="D215" s="1" t="s">
        <v>3560</v>
      </c>
      <c r="E215" s="1" t="s">
        <v>1033</v>
      </c>
      <c r="F215" s="1" t="s">
        <v>14</v>
      </c>
      <c r="G215" s="4" t="str">
        <f>"07856"</f>
        <v>07856</v>
      </c>
      <c r="H215" s="1">
        <v>8</v>
      </c>
      <c r="I215" s="1">
        <v>5.2</v>
      </c>
      <c r="J215" s="1">
        <v>0</v>
      </c>
      <c r="K215" s="1">
        <v>48</v>
      </c>
      <c r="L215" s="1" t="s">
        <v>77</v>
      </c>
      <c r="M215" s="1" t="s">
        <v>3557</v>
      </c>
      <c r="N215" s="1" t="s">
        <v>12</v>
      </c>
      <c r="O215" s="1" t="s">
        <v>3558</v>
      </c>
    </row>
    <row r="216" spans="1:15" x14ac:dyDescent="0.4">
      <c r="A216" s="1" t="s">
        <v>3039</v>
      </c>
      <c r="B216" s="1" t="s">
        <v>3038</v>
      </c>
      <c r="C216" s="1" t="s">
        <v>3043</v>
      </c>
      <c r="D216" s="1" t="s">
        <v>2964</v>
      </c>
      <c r="E216" s="1" t="s">
        <v>2962</v>
      </c>
      <c r="F216" s="1" t="s">
        <v>14</v>
      </c>
      <c r="G216" s="4" t="str">
        <f>"08861"</f>
        <v>08861</v>
      </c>
      <c r="H216" s="1">
        <v>342</v>
      </c>
      <c r="I216" s="1">
        <v>100</v>
      </c>
      <c r="J216" s="1">
        <v>0</v>
      </c>
      <c r="K216" s="1">
        <v>0</v>
      </c>
      <c r="L216" s="1" t="s">
        <v>3040</v>
      </c>
      <c r="M216" s="1" t="s">
        <v>3041</v>
      </c>
      <c r="N216" s="1" t="s">
        <v>12</v>
      </c>
      <c r="O216" s="1" t="s">
        <v>3042</v>
      </c>
    </row>
    <row r="217" spans="1:15" x14ac:dyDescent="0.4">
      <c r="A217" s="1" t="s">
        <v>370</v>
      </c>
      <c r="B217" s="1" t="s">
        <v>367</v>
      </c>
      <c r="C217" s="1" t="s">
        <v>374</v>
      </c>
      <c r="D217" s="1" t="s">
        <v>375</v>
      </c>
      <c r="E217" s="1" t="s">
        <v>4675</v>
      </c>
      <c r="F217" s="1" t="s">
        <v>14</v>
      </c>
      <c r="G217" s="4" t="str">
        <f>"07626"</f>
        <v>07626</v>
      </c>
      <c r="H217" s="1">
        <v>6</v>
      </c>
      <c r="I217" s="1">
        <v>1.1000000000000001</v>
      </c>
      <c r="J217" s="1">
        <v>0</v>
      </c>
      <c r="K217" s="1">
        <v>105</v>
      </c>
      <c r="L217" s="1" t="s">
        <v>371</v>
      </c>
      <c r="M217" s="1" t="s">
        <v>372</v>
      </c>
      <c r="N217" s="1" t="s">
        <v>12</v>
      </c>
      <c r="O217" s="1" t="s">
        <v>373</v>
      </c>
    </row>
    <row r="218" spans="1:15" x14ac:dyDescent="0.4">
      <c r="A218" s="1" t="s">
        <v>4707</v>
      </c>
      <c r="B218" s="1" t="s">
        <v>1826</v>
      </c>
      <c r="C218" s="1" t="s">
        <v>1852</v>
      </c>
      <c r="D218" s="1" t="s">
        <v>1612</v>
      </c>
      <c r="E218" s="1" t="s">
        <v>4681</v>
      </c>
      <c r="F218" s="1" t="s">
        <v>14</v>
      </c>
      <c r="G218" s="4" t="str">
        <f>"07017-2503"</f>
        <v>07017-2503</v>
      </c>
      <c r="H218" s="1">
        <v>67</v>
      </c>
      <c r="I218" s="1">
        <v>10.9</v>
      </c>
      <c r="J218" s="1">
        <v>0</v>
      </c>
      <c r="K218" s="1">
        <v>73</v>
      </c>
      <c r="L218" s="1" t="s">
        <v>70</v>
      </c>
      <c r="M218" s="1" t="s">
        <v>1850</v>
      </c>
      <c r="N218" s="1" t="s">
        <v>12</v>
      </c>
      <c r="O218" s="1" t="s">
        <v>1851</v>
      </c>
    </row>
    <row r="219" spans="1:15" x14ac:dyDescent="0.4">
      <c r="A219" s="1" t="s">
        <v>4538</v>
      </c>
      <c r="B219" s="1" t="s">
        <v>4537</v>
      </c>
      <c r="C219" s="1" t="s">
        <v>4540</v>
      </c>
      <c r="D219" s="1" t="s">
        <v>4541</v>
      </c>
      <c r="E219" s="1" t="s">
        <v>4594</v>
      </c>
      <c r="F219" s="1" t="s">
        <v>14</v>
      </c>
      <c r="G219" s="4" t="str">
        <f>"07081"</f>
        <v>07081</v>
      </c>
      <c r="H219" s="1">
        <v>66</v>
      </c>
      <c r="I219" s="1">
        <v>12.9</v>
      </c>
      <c r="J219" s="1">
        <v>0</v>
      </c>
      <c r="K219" s="1">
        <v>66</v>
      </c>
      <c r="L219" s="1" t="s">
        <v>1203</v>
      </c>
      <c r="M219" s="1" t="s">
        <v>3688</v>
      </c>
      <c r="N219" s="1" t="s">
        <v>12</v>
      </c>
      <c r="O219" s="1" t="s">
        <v>4539</v>
      </c>
    </row>
    <row r="220" spans="1:15" x14ac:dyDescent="0.4">
      <c r="A220" s="1" t="s">
        <v>3965</v>
      </c>
      <c r="B220" s="1" t="s">
        <v>3941</v>
      </c>
      <c r="C220" s="1" t="s">
        <v>3968</v>
      </c>
      <c r="D220" s="1" t="s">
        <v>1591</v>
      </c>
      <c r="E220" s="1" t="s">
        <v>1651</v>
      </c>
      <c r="F220" s="1" t="s">
        <v>14</v>
      </c>
      <c r="G220" s="4" t="str">
        <f>"07501"</f>
        <v>07501</v>
      </c>
      <c r="H220" s="1">
        <v>104</v>
      </c>
      <c r="I220" s="1">
        <v>35.299999999999997</v>
      </c>
      <c r="J220" s="1">
        <v>0</v>
      </c>
      <c r="K220" s="1">
        <v>39</v>
      </c>
      <c r="L220" s="1" t="s">
        <v>3931</v>
      </c>
      <c r="M220" s="1" t="s">
        <v>3966</v>
      </c>
      <c r="N220" s="1" t="s">
        <v>12</v>
      </c>
      <c r="O220" s="1" t="s">
        <v>3967</v>
      </c>
    </row>
    <row r="221" spans="1:15" x14ac:dyDescent="0.4">
      <c r="A221" s="1" t="s">
        <v>2787</v>
      </c>
      <c r="B221" s="1" t="s">
        <v>2781</v>
      </c>
      <c r="C221" s="1" t="s">
        <v>2790</v>
      </c>
      <c r="D221" s="1" t="s">
        <v>2786</v>
      </c>
      <c r="E221" s="1" t="s">
        <v>4683</v>
      </c>
      <c r="F221" s="1" t="s">
        <v>14</v>
      </c>
      <c r="G221" s="4" t="str">
        <f>"08648"</f>
        <v>08648</v>
      </c>
      <c r="H221" s="1">
        <v>14</v>
      </c>
      <c r="I221" s="1">
        <v>6.6</v>
      </c>
      <c r="J221" s="1">
        <v>0</v>
      </c>
      <c r="K221" s="1">
        <v>38</v>
      </c>
      <c r="L221" s="1" t="s">
        <v>364</v>
      </c>
      <c r="M221" s="1" t="s">
        <v>2788</v>
      </c>
      <c r="N221" s="1" t="s">
        <v>12</v>
      </c>
      <c r="O221" s="1" t="s">
        <v>2789</v>
      </c>
    </row>
    <row r="222" spans="1:15" x14ac:dyDescent="0.4">
      <c r="A222" s="1" t="s">
        <v>4157</v>
      </c>
      <c r="B222" s="1" t="s">
        <v>4148</v>
      </c>
      <c r="C222" s="1" t="s">
        <v>4159</v>
      </c>
      <c r="D222" s="1" t="s">
        <v>1597</v>
      </c>
      <c r="E222" s="1" t="s">
        <v>1597</v>
      </c>
      <c r="F222" s="1" t="s">
        <v>14</v>
      </c>
      <c r="G222" s="4" t="str">
        <f>"08873-1105"</f>
        <v>08873-1105</v>
      </c>
      <c r="H222" s="1">
        <v>37</v>
      </c>
      <c r="I222" s="1">
        <v>6.8</v>
      </c>
      <c r="J222" s="1">
        <v>0</v>
      </c>
      <c r="K222" s="1">
        <v>80</v>
      </c>
      <c r="L222" s="1" t="s">
        <v>788</v>
      </c>
      <c r="M222" s="1" t="s">
        <v>758</v>
      </c>
      <c r="N222" s="1" t="s">
        <v>12</v>
      </c>
      <c r="O222" s="1" t="s">
        <v>4158</v>
      </c>
    </row>
    <row r="223" spans="1:15" x14ac:dyDescent="0.4">
      <c r="A223" s="1" t="s">
        <v>3497</v>
      </c>
      <c r="B223" s="1" t="s">
        <v>3491</v>
      </c>
      <c r="C223" s="1" t="s">
        <v>3501</v>
      </c>
      <c r="D223" s="1" t="s">
        <v>3502</v>
      </c>
      <c r="E223" s="1" t="s">
        <v>1033</v>
      </c>
      <c r="F223" s="1" t="s">
        <v>14</v>
      </c>
      <c r="G223" s="4" t="str">
        <f>"07849"</f>
        <v>07849</v>
      </c>
      <c r="H223" s="1">
        <v>142</v>
      </c>
      <c r="I223" s="1">
        <v>62.8</v>
      </c>
      <c r="J223" s="1">
        <v>0</v>
      </c>
      <c r="K223" s="1">
        <v>84</v>
      </c>
      <c r="L223" s="1" t="s">
        <v>3498</v>
      </c>
      <c r="M223" s="1" t="s">
        <v>3499</v>
      </c>
      <c r="N223" s="1" t="s">
        <v>12</v>
      </c>
      <c r="O223" s="1" t="s">
        <v>3500</v>
      </c>
    </row>
    <row r="224" spans="1:15" x14ac:dyDescent="0.4">
      <c r="A224" s="1" t="s">
        <v>2000</v>
      </c>
      <c r="B224" s="1" t="s">
        <v>1952</v>
      </c>
      <c r="C224" s="1" t="s">
        <v>2004</v>
      </c>
      <c r="D224" s="1" t="s">
        <v>1610</v>
      </c>
      <c r="E224" s="1" t="s">
        <v>4681</v>
      </c>
      <c r="F224" s="1" t="s">
        <v>14</v>
      </c>
      <c r="G224" s="4" t="str">
        <f>"07104"</f>
        <v>07104</v>
      </c>
      <c r="H224" s="1">
        <v>97</v>
      </c>
      <c r="I224" s="1">
        <v>11</v>
      </c>
      <c r="J224" s="1">
        <v>0</v>
      </c>
      <c r="K224" s="1">
        <v>80</v>
      </c>
      <c r="L224" s="1" t="s">
        <v>2001</v>
      </c>
      <c r="M224" s="1" t="s">
        <v>2002</v>
      </c>
      <c r="N224" s="1" t="s">
        <v>12</v>
      </c>
      <c r="O224" s="1" t="s">
        <v>2003</v>
      </c>
    </row>
    <row r="225" spans="1:15" x14ac:dyDescent="0.4">
      <c r="A225" s="1" t="s">
        <v>4386</v>
      </c>
      <c r="B225" s="1" t="s">
        <v>4361</v>
      </c>
      <c r="C225" s="1" t="s">
        <v>4389</v>
      </c>
      <c r="D225" s="1" t="s">
        <v>2423</v>
      </c>
      <c r="E225" s="1" t="s">
        <v>4594</v>
      </c>
      <c r="F225" s="1" t="s">
        <v>14</v>
      </c>
      <c r="G225" s="4" t="str">
        <f>"07208-1505"</f>
        <v>07208-1505</v>
      </c>
      <c r="H225" s="1">
        <v>15</v>
      </c>
      <c r="I225" s="1">
        <v>2.2999999999999998</v>
      </c>
      <c r="J225" s="1">
        <v>0</v>
      </c>
      <c r="K225" s="1">
        <v>71</v>
      </c>
      <c r="L225" s="1" t="s">
        <v>199</v>
      </c>
      <c r="M225" s="1" t="s">
        <v>4387</v>
      </c>
      <c r="N225" s="1" t="s">
        <v>12</v>
      </c>
      <c r="O225" s="1" t="s">
        <v>4388</v>
      </c>
    </row>
    <row r="226" spans="1:15" x14ac:dyDescent="0.4">
      <c r="A226" s="1" t="s">
        <v>3706</v>
      </c>
      <c r="B226" s="1" t="s">
        <v>3700</v>
      </c>
      <c r="C226" s="1" t="s">
        <v>3709</v>
      </c>
      <c r="D226" s="1" t="s">
        <v>939</v>
      </c>
      <c r="E226" s="1" t="s">
        <v>4685</v>
      </c>
      <c r="F226" s="1" t="s">
        <v>14</v>
      </c>
      <c r="G226" s="4" t="str">
        <f>"08527-3497"</f>
        <v>08527-3497</v>
      </c>
      <c r="H226" s="1">
        <v>90</v>
      </c>
      <c r="I226" s="1">
        <v>12.8</v>
      </c>
      <c r="J226" s="1">
        <v>0</v>
      </c>
      <c r="K226" s="1">
        <v>81</v>
      </c>
      <c r="L226" s="1" t="s">
        <v>176</v>
      </c>
      <c r="M226" s="1" t="s">
        <v>3707</v>
      </c>
      <c r="N226" s="1" t="s">
        <v>12</v>
      </c>
      <c r="O226" s="1" t="s">
        <v>3708</v>
      </c>
    </row>
    <row r="227" spans="1:15" x14ac:dyDescent="0.4">
      <c r="A227" s="1" t="s">
        <v>1149</v>
      </c>
      <c r="B227" s="1" t="s">
        <v>1144</v>
      </c>
      <c r="C227" s="1" t="s">
        <v>1152</v>
      </c>
      <c r="D227" s="1" t="s">
        <v>1153</v>
      </c>
      <c r="E227" s="1" t="s">
        <v>4676</v>
      </c>
      <c r="F227" s="1" t="s">
        <v>14</v>
      </c>
      <c r="G227" s="4" t="str">
        <f>"08641"</f>
        <v>08641</v>
      </c>
      <c r="H227" s="1">
        <v>196</v>
      </c>
      <c r="I227" s="1">
        <v>24.8</v>
      </c>
      <c r="J227" s="1">
        <v>0</v>
      </c>
      <c r="K227" s="1">
        <v>126</v>
      </c>
      <c r="L227" s="1" t="s">
        <v>29</v>
      </c>
      <c r="M227" s="1" t="s">
        <v>1150</v>
      </c>
      <c r="N227" s="1" t="s">
        <v>12</v>
      </c>
      <c r="O227" s="1" t="s">
        <v>1151</v>
      </c>
    </row>
    <row r="228" spans="1:15" x14ac:dyDescent="0.4">
      <c r="A228" s="1" t="s">
        <v>1359</v>
      </c>
      <c r="B228" s="1" t="s">
        <v>1348</v>
      </c>
      <c r="C228" s="1" t="s">
        <v>1362</v>
      </c>
      <c r="D228" s="1" t="s">
        <v>1353</v>
      </c>
      <c r="E228" s="1" t="s">
        <v>1271</v>
      </c>
      <c r="F228" s="1" t="s">
        <v>14</v>
      </c>
      <c r="G228" s="4" t="str">
        <f>"08081"</f>
        <v>08081</v>
      </c>
      <c r="H228" s="1">
        <v>68</v>
      </c>
      <c r="I228" s="1">
        <v>10.6</v>
      </c>
      <c r="J228" s="1">
        <v>0</v>
      </c>
      <c r="K228" s="1">
        <v>88</v>
      </c>
      <c r="L228" s="1" t="s">
        <v>70</v>
      </c>
      <c r="M228" s="1" t="s">
        <v>1360</v>
      </c>
      <c r="N228" s="1" t="s">
        <v>12</v>
      </c>
      <c r="O228" s="1" t="s">
        <v>1361</v>
      </c>
    </row>
    <row r="229" spans="1:15" x14ac:dyDescent="0.4">
      <c r="A229" s="1" t="s">
        <v>4708</v>
      </c>
      <c r="B229" s="1" t="s">
        <v>4517</v>
      </c>
      <c r="C229" s="1" t="s">
        <v>4520</v>
      </c>
      <c r="D229" s="1" t="s">
        <v>4521</v>
      </c>
      <c r="E229" s="1" t="s">
        <v>4594</v>
      </c>
      <c r="F229" s="1" t="s">
        <v>14</v>
      </c>
      <c r="G229" s="4" t="str">
        <f>"07204-1617"</f>
        <v>07204-1617</v>
      </c>
      <c r="H229" s="1">
        <v>20</v>
      </c>
      <c r="I229" s="1">
        <v>7</v>
      </c>
      <c r="J229" s="1">
        <v>0</v>
      </c>
      <c r="K229" s="1">
        <v>33</v>
      </c>
      <c r="L229" s="1" t="s">
        <v>1762</v>
      </c>
      <c r="M229" s="1" t="s">
        <v>4518</v>
      </c>
      <c r="N229" s="1" t="s">
        <v>12</v>
      </c>
      <c r="O229" s="1" t="s">
        <v>4519</v>
      </c>
    </row>
    <row r="230" spans="1:15" x14ac:dyDescent="0.4">
      <c r="A230" s="1" t="s">
        <v>131</v>
      </c>
      <c r="B230" s="1" t="s">
        <v>130</v>
      </c>
      <c r="C230" s="1" t="s">
        <v>136</v>
      </c>
      <c r="D230" s="1" t="s">
        <v>137</v>
      </c>
      <c r="E230" s="1" t="s">
        <v>4674</v>
      </c>
      <c r="F230" s="1" t="s">
        <v>14</v>
      </c>
      <c r="G230" s="4" t="str">
        <f>"08319-1735"</f>
        <v>08319-1735</v>
      </c>
      <c r="H230" s="1">
        <v>25</v>
      </c>
      <c r="I230" s="1">
        <v>12.6</v>
      </c>
      <c r="J230" s="1">
        <v>0</v>
      </c>
      <c r="K230" s="1">
        <v>12</v>
      </c>
      <c r="L230" s="1" t="s">
        <v>132</v>
      </c>
      <c r="M230" s="1" t="s">
        <v>133</v>
      </c>
      <c r="N230" s="1" t="s">
        <v>134</v>
      </c>
      <c r="O230" s="1" t="s">
        <v>135</v>
      </c>
    </row>
    <row r="231" spans="1:15" x14ac:dyDescent="0.4">
      <c r="A231" s="1" t="s">
        <v>1297</v>
      </c>
      <c r="B231" s="1" t="s">
        <v>1295</v>
      </c>
      <c r="C231" s="1" t="s">
        <v>1300</v>
      </c>
      <c r="D231" s="1" t="s">
        <v>1296</v>
      </c>
      <c r="E231" s="1" t="s">
        <v>1271</v>
      </c>
      <c r="F231" s="1" t="s">
        <v>14</v>
      </c>
      <c r="G231" s="4" t="str">
        <f>"08034-2919"</f>
        <v>08034-2919</v>
      </c>
      <c r="H231" s="1">
        <v>174</v>
      </c>
      <c r="I231" s="1">
        <v>100</v>
      </c>
      <c r="J231" s="1">
        <v>0</v>
      </c>
      <c r="K231" s="1">
        <v>0</v>
      </c>
      <c r="L231" s="1" t="s">
        <v>1298</v>
      </c>
      <c r="M231" s="1" t="s">
        <v>548</v>
      </c>
      <c r="N231" s="1" t="s">
        <v>12</v>
      </c>
      <c r="O231" s="1" t="s">
        <v>1299</v>
      </c>
    </row>
    <row r="232" spans="1:15" x14ac:dyDescent="0.4">
      <c r="A232" s="1" t="s">
        <v>3758</v>
      </c>
      <c r="B232" s="1" t="s">
        <v>3757</v>
      </c>
      <c r="C232" s="1" t="s">
        <v>3761</v>
      </c>
      <c r="D232" s="1" t="s">
        <v>3762</v>
      </c>
      <c r="E232" s="1" t="s">
        <v>4685</v>
      </c>
      <c r="F232" s="1" t="s">
        <v>14</v>
      </c>
      <c r="G232" s="4" t="str">
        <f>"08008"</f>
        <v>08008</v>
      </c>
      <c r="H232" s="1">
        <v>15</v>
      </c>
      <c r="I232" s="1">
        <v>14.4</v>
      </c>
      <c r="J232" s="1">
        <v>0</v>
      </c>
      <c r="K232" s="1">
        <v>28</v>
      </c>
      <c r="L232" s="1" t="s">
        <v>124</v>
      </c>
      <c r="M232" s="1" t="s">
        <v>3759</v>
      </c>
      <c r="N232" s="1" t="s">
        <v>12</v>
      </c>
      <c r="O232" s="1" t="s">
        <v>3760</v>
      </c>
    </row>
    <row r="233" spans="1:15" x14ac:dyDescent="0.4">
      <c r="A233" s="1" t="s">
        <v>568</v>
      </c>
      <c r="B233" s="1" t="s">
        <v>567</v>
      </c>
      <c r="C233" s="1" t="s">
        <v>571</v>
      </c>
      <c r="D233" s="1" t="s">
        <v>572</v>
      </c>
      <c r="E233" s="1" t="s">
        <v>4675</v>
      </c>
      <c r="F233" s="1" t="s">
        <v>14</v>
      </c>
      <c r="G233" s="4" t="str">
        <f>"07604"</f>
        <v>07604</v>
      </c>
      <c r="H233" s="1">
        <v>14</v>
      </c>
      <c r="I233" s="1">
        <v>3.9</v>
      </c>
      <c r="J233" s="1">
        <v>0</v>
      </c>
      <c r="K233" s="1">
        <v>53</v>
      </c>
      <c r="L233" s="1" t="s">
        <v>176</v>
      </c>
      <c r="M233" s="1" t="s">
        <v>569</v>
      </c>
      <c r="N233" s="1" t="s">
        <v>12</v>
      </c>
      <c r="O233" s="1" t="s">
        <v>570</v>
      </c>
    </row>
    <row r="234" spans="1:15" x14ac:dyDescent="0.4">
      <c r="A234" s="1" t="s">
        <v>2333</v>
      </c>
      <c r="B234" s="1" t="s">
        <v>2332</v>
      </c>
      <c r="C234" s="1" t="s">
        <v>2336</v>
      </c>
      <c r="D234" s="1" t="s">
        <v>2337</v>
      </c>
      <c r="E234" s="1" t="s">
        <v>4677</v>
      </c>
      <c r="F234" s="1" t="s">
        <v>14</v>
      </c>
      <c r="G234" s="4" t="str">
        <f>"08096"</f>
        <v>08096</v>
      </c>
      <c r="H234" s="1">
        <v>46</v>
      </c>
      <c r="I234" s="1">
        <v>14.8</v>
      </c>
      <c r="J234" s="1">
        <v>0</v>
      </c>
      <c r="K234" s="1">
        <v>59</v>
      </c>
      <c r="L234" s="1" t="s">
        <v>29</v>
      </c>
      <c r="M234" s="1" t="s">
        <v>2334</v>
      </c>
      <c r="N234" s="1" t="s">
        <v>12</v>
      </c>
      <c r="O234" s="1" t="s">
        <v>2335</v>
      </c>
    </row>
    <row r="235" spans="1:15" x14ac:dyDescent="0.4">
      <c r="A235" s="1" t="s">
        <v>1709</v>
      </c>
      <c r="B235" s="1" t="s">
        <v>1708</v>
      </c>
      <c r="C235" s="1" t="s">
        <v>1711</v>
      </c>
      <c r="D235" s="1" t="s">
        <v>1683</v>
      </c>
      <c r="E235" s="1" t="s">
        <v>4680</v>
      </c>
      <c r="F235" s="1" t="s">
        <v>14</v>
      </c>
      <c r="G235" s="4" t="str">
        <f>"08302"</f>
        <v>08302</v>
      </c>
      <c r="H235" s="1">
        <v>79</v>
      </c>
      <c r="I235" s="1">
        <v>15.1</v>
      </c>
      <c r="J235" s="1">
        <v>0</v>
      </c>
      <c r="K235" s="1">
        <v>41</v>
      </c>
      <c r="L235" s="1" t="s">
        <v>4696</v>
      </c>
      <c r="M235" s="1" t="s">
        <v>206</v>
      </c>
      <c r="N235" s="1" t="s">
        <v>134</v>
      </c>
      <c r="O235" s="1" t="s">
        <v>1710</v>
      </c>
    </row>
    <row r="236" spans="1:15" x14ac:dyDescent="0.4">
      <c r="A236" s="1" t="s">
        <v>537</v>
      </c>
      <c r="B236" s="1" t="s">
        <v>536</v>
      </c>
      <c r="C236" s="1" t="s">
        <v>541</v>
      </c>
      <c r="D236" s="1" t="s">
        <v>542</v>
      </c>
      <c r="E236" s="1" t="s">
        <v>4675</v>
      </c>
      <c r="F236" s="1" t="s">
        <v>14</v>
      </c>
      <c r="G236" s="4" t="str">
        <f>"07601"</f>
        <v>07601</v>
      </c>
      <c r="H236" s="1">
        <v>110</v>
      </c>
      <c r="I236" s="1">
        <v>17.7</v>
      </c>
      <c r="J236" s="1">
        <v>0</v>
      </c>
      <c r="K236" s="1">
        <v>113</v>
      </c>
      <c r="L236" s="1" t="s">
        <v>538</v>
      </c>
      <c r="M236" s="1" t="s">
        <v>539</v>
      </c>
      <c r="N236" s="1" t="s">
        <v>12</v>
      </c>
      <c r="O236" s="1" t="s">
        <v>540</v>
      </c>
    </row>
    <row r="237" spans="1:15" x14ac:dyDescent="0.4">
      <c r="A237" s="1" t="s">
        <v>543</v>
      </c>
      <c r="B237" s="1" t="s">
        <v>536</v>
      </c>
      <c r="C237" s="1" t="s">
        <v>547</v>
      </c>
      <c r="D237" s="1" t="s">
        <v>542</v>
      </c>
      <c r="E237" s="1" t="s">
        <v>4675</v>
      </c>
      <c r="F237" s="1" t="s">
        <v>14</v>
      </c>
      <c r="G237" s="4" t="str">
        <f>"07601"</f>
        <v>07601</v>
      </c>
      <c r="H237" s="1">
        <v>85</v>
      </c>
      <c r="I237" s="1">
        <v>16.5</v>
      </c>
      <c r="J237" s="1">
        <v>0</v>
      </c>
      <c r="K237" s="1">
        <v>82</v>
      </c>
      <c r="L237" s="1" t="s">
        <v>544</v>
      </c>
      <c r="M237" s="1" t="s">
        <v>545</v>
      </c>
      <c r="N237" s="1" t="s">
        <v>12</v>
      </c>
      <c r="O237" s="1" t="s">
        <v>546</v>
      </c>
    </row>
    <row r="238" spans="1:15" x14ac:dyDescent="0.4">
      <c r="A238" s="1" t="s">
        <v>3192</v>
      </c>
      <c r="B238" s="1" t="s">
        <v>3191</v>
      </c>
      <c r="C238" s="1" t="s">
        <v>3196</v>
      </c>
      <c r="D238" s="1" t="s">
        <v>3197</v>
      </c>
      <c r="E238" s="1" t="s">
        <v>4684</v>
      </c>
      <c r="F238" s="1" t="s">
        <v>14</v>
      </c>
      <c r="G238" s="4" t="str">
        <f>"07727"</f>
        <v>07727</v>
      </c>
      <c r="H238" s="1">
        <v>19</v>
      </c>
      <c r="I238" s="1">
        <v>11.9</v>
      </c>
      <c r="J238" s="1">
        <v>0</v>
      </c>
      <c r="K238" s="1">
        <v>13</v>
      </c>
      <c r="L238" s="1" t="s">
        <v>3193</v>
      </c>
      <c r="M238" s="1" t="s">
        <v>3194</v>
      </c>
      <c r="N238" s="1" t="s">
        <v>105</v>
      </c>
      <c r="O238" s="1" t="s">
        <v>3195</v>
      </c>
    </row>
    <row r="239" spans="1:15" x14ac:dyDescent="0.4">
      <c r="A239" s="1" t="s">
        <v>2005</v>
      </c>
      <c r="B239" s="1" t="s">
        <v>1952</v>
      </c>
      <c r="C239" s="1" t="s">
        <v>2008</v>
      </c>
      <c r="D239" s="1" t="s">
        <v>1610</v>
      </c>
      <c r="E239" s="1" t="s">
        <v>4681</v>
      </c>
      <c r="F239" s="1" t="s">
        <v>14</v>
      </c>
      <c r="G239" s="4" t="str">
        <f>"07107-1802"</f>
        <v>07107-1802</v>
      </c>
      <c r="H239" s="1">
        <v>45</v>
      </c>
      <c r="I239" s="1">
        <v>4.2</v>
      </c>
      <c r="J239" s="1">
        <v>0</v>
      </c>
      <c r="K239" s="1">
        <v>96</v>
      </c>
      <c r="L239" s="1" t="s">
        <v>2006</v>
      </c>
      <c r="M239" s="1" t="s">
        <v>767</v>
      </c>
      <c r="N239" s="1" t="s">
        <v>12</v>
      </c>
      <c r="O239" s="1" t="s">
        <v>2007</v>
      </c>
    </row>
    <row r="240" spans="1:15" x14ac:dyDescent="0.4">
      <c r="A240" s="1" t="s">
        <v>1121</v>
      </c>
      <c r="B240" s="1" t="s">
        <v>1119</v>
      </c>
      <c r="C240" s="1" t="s">
        <v>1124</v>
      </c>
      <c r="D240" s="1" t="s">
        <v>1120</v>
      </c>
      <c r="E240" s="1" t="s">
        <v>4676</v>
      </c>
      <c r="F240" s="1" t="s">
        <v>14</v>
      </c>
      <c r="G240" s="4" t="str">
        <f>"08054"</f>
        <v>08054</v>
      </c>
      <c r="H240" s="1">
        <v>29</v>
      </c>
      <c r="I240" s="1">
        <v>7.2</v>
      </c>
      <c r="J240" s="1">
        <v>0</v>
      </c>
      <c r="K240" s="1">
        <v>63</v>
      </c>
      <c r="L240" s="1" t="s">
        <v>4697</v>
      </c>
      <c r="M240" s="1" t="s">
        <v>1122</v>
      </c>
      <c r="N240" s="1" t="s">
        <v>12</v>
      </c>
      <c r="O240" s="1" t="s">
        <v>1123</v>
      </c>
    </row>
    <row r="241" spans="1:15" x14ac:dyDescent="0.4">
      <c r="A241" s="1" t="s">
        <v>3638</v>
      </c>
      <c r="B241" s="1" t="s">
        <v>2308</v>
      </c>
      <c r="C241" s="1" t="s">
        <v>3641</v>
      </c>
      <c r="D241" s="1" t="s">
        <v>3637</v>
      </c>
      <c r="E241" s="1" t="s">
        <v>1033</v>
      </c>
      <c r="F241" s="1" t="s">
        <v>14</v>
      </c>
      <c r="G241" s="4" t="str">
        <f>"07853-8919"</f>
        <v>07853-8919</v>
      </c>
      <c r="H241" s="1">
        <v>14</v>
      </c>
      <c r="I241" s="1">
        <v>2.8</v>
      </c>
      <c r="J241" s="1">
        <v>0</v>
      </c>
      <c r="K241" s="1">
        <v>76</v>
      </c>
      <c r="L241" s="1" t="s">
        <v>335</v>
      </c>
      <c r="M241" s="1" t="s">
        <v>3639</v>
      </c>
      <c r="N241" s="1" t="s">
        <v>12</v>
      </c>
      <c r="O241" s="1" t="s">
        <v>3640</v>
      </c>
    </row>
    <row r="242" spans="1:15" x14ac:dyDescent="0.4">
      <c r="A242" s="1" t="s">
        <v>4241</v>
      </c>
      <c r="B242" s="1" t="s">
        <v>4240</v>
      </c>
      <c r="C242" s="1" t="s">
        <v>4244</v>
      </c>
      <c r="D242" s="1" t="s">
        <v>4245</v>
      </c>
      <c r="E242" s="1" t="s">
        <v>4687</v>
      </c>
      <c r="F242" s="1" t="s">
        <v>14</v>
      </c>
      <c r="G242" s="4" t="str">
        <f>"07860"</f>
        <v>07860</v>
      </c>
      <c r="H242" s="1">
        <v>54</v>
      </c>
      <c r="I242" s="1">
        <v>18.8</v>
      </c>
      <c r="J242" s="1">
        <v>0</v>
      </c>
      <c r="K242" s="1">
        <v>52</v>
      </c>
      <c r="L242" s="1" t="s">
        <v>58</v>
      </c>
      <c r="M242" s="1" t="s">
        <v>4242</v>
      </c>
      <c r="N242" s="1" t="s">
        <v>12</v>
      </c>
      <c r="O242" s="1" t="s">
        <v>4243</v>
      </c>
    </row>
    <row r="243" spans="1:15" x14ac:dyDescent="0.4">
      <c r="A243" s="1" t="s">
        <v>1036</v>
      </c>
      <c r="B243" s="1" t="s">
        <v>1035</v>
      </c>
      <c r="C243" s="1" t="s">
        <v>1039</v>
      </c>
      <c r="D243" s="1" t="s">
        <v>1040</v>
      </c>
      <c r="E243" s="1" t="s">
        <v>4676</v>
      </c>
      <c r="F243" s="1" t="s">
        <v>14</v>
      </c>
      <c r="G243" s="4" t="str">
        <f>"08518"</f>
        <v>08518</v>
      </c>
      <c r="H243" s="1">
        <v>25</v>
      </c>
      <c r="I243" s="1">
        <v>4</v>
      </c>
      <c r="J243" s="1">
        <v>0</v>
      </c>
      <c r="K243" s="1">
        <v>0</v>
      </c>
      <c r="L243" s="1" t="s">
        <v>303</v>
      </c>
      <c r="M243" s="1" t="s">
        <v>1037</v>
      </c>
      <c r="N243" s="1" t="s">
        <v>12</v>
      </c>
      <c r="O243" s="1" t="s">
        <v>1038</v>
      </c>
    </row>
    <row r="244" spans="1:15" x14ac:dyDescent="0.4">
      <c r="A244" s="1" t="s">
        <v>141</v>
      </c>
      <c r="B244" s="1" t="s">
        <v>140</v>
      </c>
      <c r="C244" s="1" t="s">
        <v>144</v>
      </c>
      <c r="D244" s="1" t="s">
        <v>145</v>
      </c>
      <c r="E244" s="1" t="s">
        <v>4674</v>
      </c>
      <c r="F244" s="1" t="s">
        <v>14</v>
      </c>
      <c r="G244" s="4" t="str">
        <f>"08037"</f>
        <v>08037</v>
      </c>
      <c r="H244" s="1">
        <v>22</v>
      </c>
      <c r="I244" s="1">
        <v>5.9</v>
      </c>
      <c r="J244" s="1">
        <v>0</v>
      </c>
      <c r="K244" s="1">
        <v>20</v>
      </c>
      <c r="L244" s="1" t="s">
        <v>10</v>
      </c>
      <c r="M244" s="1" t="s">
        <v>142</v>
      </c>
      <c r="N244" s="1" t="s">
        <v>134</v>
      </c>
      <c r="O244" s="1" t="s">
        <v>143</v>
      </c>
    </row>
    <row r="245" spans="1:15" x14ac:dyDescent="0.4">
      <c r="A245" s="1" t="s">
        <v>1893</v>
      </c>
      <c r="B245" s="1" t="s">
        <v>1888</v>
      </c>
      <c r="C245" s="1" t="s">
        <v>1895</v>
      </c>
      <c r="D245" s="1" t="s">
        <v>1896</v>
      </c>
      <c r="E245" s="1" t="s">
        <v>4681</v>
      </c>
      <c r="F245" s="1" t="s">
        <v>14</v>
      </c>
      <c r="G245" s="4" t="str">
        <f>"07028-1818"</f>
        <v>07028-1818</v>
      </c>
      <c r="H245" s="1">
        <v>1</v>
      </c>
      <c r="I245" s="1">
        <v>0.8</v>
      </c>
      <c r="J245" s="1">
        <v>0</v>
      </c>
      <c r="K245" s="1">
        <v>34</v>
      </c>
      <c r="L245" s="1" t="s">
        <v>989</v>
      </c>
      <c r="M245" s="1" t="s">
        <v>443</v>
      </c>
      <c r="N245" s="1" t="s">
        <v>12</v>
      </c>
      <c r="O245" s="1" t="s">
        <v>1894</v>
      </c>
    </row>
    <row r="246" spans="1:15" x14ac:dyDescent="0.4">
      <c r="A246" s="1" t="s">
        <v>1893</v>
      </c>
      <c r="B246" s="1" t="s">
        <v>2166</v>
      </c>
      <c r="C246" s="1" t="s">
        <v>2170</v>
      </c>
      <c r="D246" s="1" t="s">
        <v>2167</v>
      </c>
      <c r="E246" s="1" t="s">
        <v>4681</v>
      </c>
      <c r="F246" s="1" t="s">
        <v>14</v>
      </c>
      <c r="G246" s="4" t="str">
        <f>"07044-1224"</f>
        <v>07044-1224</v>
      </c>
      <c r="H246" s="1">
        <v>1</v>
      </c>
      <c r="I246" s="1">
        <v>0.8</v>
      </c>
      <c r="J246" s="1">
        <v>0</v>
      </c>
      <c r="K246" s="1">
        <v>34</v>
      </c>
      <c r="L246" s="1" t="s">
        <v>524</v>
      </c>
      <c r="M246" s="1" t="s">
        <v>2168</v>
      </c>
      <c r="N246" s="1" t="s">
        <v>12</v>
      </c>
      <c r="O246" s="1" t="s">
        <v>2169</v>
      </c>
    </row>
    <row r="247" spans="1:15" x14ac:dyDescent="0.4">
      <c r="A247" s="1" t="s">
        <v>2139</v>
      </c>
      <c r="B247" s="1" t="s">
        <v>2136</v>
      </c>
      <c r="C247" s="1" t="s">
        <v>2143</v>
      </c>
      <c r="D247" s="1" t="s">
        <v>2138</v>
      </c>
      <c r="E247" s="1" t="s">
        <v>4681</v>
      </c>
      <c r="F247" s="1" t="s">
        <v>14</v>
      </c>
      <c r="G247" s="4" t="str">
        <f>"07050"</f>
        <v>07050</v>
      </c>
      <c r="H247" s="1">
        <v>29</v>
      </c>
      <c r="I247" s="1">
        <v>7.6</v>
      </c>
      <c r="J247" s="1">
        <v>0</v>
      </c>
      <c r="K247" s="1">
        <v>50</v>
      </c>
      <c r="L247" s="1" t="s">
        <v>2140</v>
      </c>
      <c r="M247" s="1" t="s">
        <v>2141</v>
      </c>
      <c r="N247" s="1" t="s">
        <v>12</v>
      </c>
      <c r="O247" s="1" t="s">
        <v>2142</v>
      </c>
    </row>
    <row r="248" spans="1:15" x14ac:dyDescent="0.4">
      <c r="A248" s="1" t="s">
        <v>1163</v>
      </c>
      <c r="B248" s="1" t="s">
        <v>1162</v>
      </c>
      <c r="C248" s="1" t="s">
        <v>1166</v>
      </c>
      <c r="D248" s="1" t="s">
        <v>1167</v>
      </c>
      <c r="E248" s="1" t="s">
        <v>4676</v>
      </c>
      <c r="F248" s="1" t="s">
        <v>14</v>
      </c>
      <c r="G248" s="4" t="str">
        <f>"08640-5780"</f>
        <v>08640-5780</v>
      </c>
      <c r="H248" s="1">
        <v>83</v>
      </c>
      <c r="I248" s="1">
        <v>28</v>
      </c>
      <c r="J248" s="1">
        <v>0</v>
      </c>
      <c r="K248" s="1">
        <v>38</v>
      </c>
      <c r="L248" s="1" t="s">
        <v>1164</v>
      </c>
      <c r="M248" s="1" t="s">
        <v>1033</v>
      </c>
      <c r="N248" s="1" t="s">
        <v>867</v>
      </c>
      <c r="O248" s="1" t="s">
        <v>1165</v>
      </c>
    </row>
    <row r="249" spans="1:15" x14ac:dyDescent="0.4">
      <c r="A249" s="1" t="s">
        <v>2009</v>
      </c>
      <c r="B249" s="1" t="s">
        <v>1952</v>
      </c>
      <c r="C249" s="1" t="s">
        <v>2013</v>
      </c>
      <c r="D249" s="1" t="s">
        <v>1610</v>
      </c>
      <c r="E249" s="1" t="s">
        <v>4681</v>
      </c>
      <c r="F249" s="1" t="s">
        <v>14</v>
      </c>
      <c r="G249" s="4" t="str">
        <f>"07106"</f>
        <v>07106</v>
      </c>
      <c r="H249" s="1">
        <v>8</v>
      </c>
      <c r="I249" s="1">
        <v>7.5</v>
      </c>
      <c r="J249" s="1">
        <v>0</v>
      </c>
      <c r="K249" s="1">
        <v>9</v>
      </c>
      <c r="L249" s="1" t="s">
        <v>2010</v>
      </c>
      <c r="M249" s="1" t="s">
        <v>2011</v>
      </c>
      <c r="N249" s="1" t="s">
        <v>12</v>
      </c>
      <c r="O249" s="1" t="s">
        <v>2012</v>
      </c>
    </row>
    <row r="250" spans="1:15" x14ac:dyDescent="0.4">
      <c r="A250" s="1" t="s">
        <v>4390</v>
      </c>
      <c r="B250" s="1" t="s">
        <v>4361</v>
      </c>
      <c r="C250" s="1" t="s">
        <v>4393</v>
      </c>
      <c r="D250" s="1" t="s">
        <v>2423</v>
      </c>
      <c r="E250" s="1" t="s">
        <v>4594</v>
      </c>
      <c r="F250" s="1" t="s">
        <v>14</v>
      </c>
      <c r="G250" s="4" t="str">
        <f>"07202"</f>
        <v>07202</v>
      </c>
      <c r="H250" s="1">
        <v>306</v>
      </c>
      <c r="I250" s="1">
        <v>100</v>
      </c>
      <c r="J250" s="1">
        <v>0</v>
      </c>
      <c r="K250" s="1">
        <v>0</v>
      </c>
      <c r="L250" s="1" t="s">
        <v>310</v>
      </c>
      <c r="M250" s="1" t="s">
        <v>4391</v>
      </c>
      <c r="N250" s="1" t="s">
        <v>12</v>
      </c>
      <c r="O250" s="1" t="s">
        <v>4392</v>
      </c>
    </row>
    <row r="251" spans="1:15" x14ac:dyDescent="0.4">
      <c r="A251" s="1" t="s">
        <v>2660</v>
      </c>
      <c r="B251" s="1" t="s">
        <v>2649</v>
      </c>
      <c r="C251" s="1" t="s">
        <v>2663</v>
      </c>
      <c r="D251" s="1" t="s">
        <v>2654</v>
      </c>
      <c r="E251" s="1" t="s">
        <v>4682</v>
      </c>
      <c r="F251" s="1" t="s">
        <v>14</v>
      </c>
      <c r="G251" s="4" t="str">
        <f>"08822-1325"</f>
        <v>08822-1325</v>
      </c>
      <c r="H251" s="1">
        <v>14</v>
      </c>
      <c r="I251" s="1">
        <v>3.3</v>
      </c>
      <c r="J251" s="1">
        <v>0</v>
      </c>
      <c r="K251" s="1">
        <v>73</v>
      </c>
      <c r="L251" s="1" t="s">
        <v>234</v>
      </c>
      <c r="M251" s="1" t="s">
        <v>2661</v>
      </c>
      <c r="N251" s="1" t="s">
        <v>12</v>
      </c>
      <c r="O251" s="1" t="s">
        <v>2662</v>
      </c>
    </row>
    <row r="252" spans="1:15" x14ac:dyDescent="0.4">
      <c r="A252" s="1" t="s">
        <v>3479</v>
      </c>
      <c r="B252" s="1" t="s">
        <v>3477</v>
      </c>
      <c r="C252" s="1" t="s">
        <v>3482</v>
      </c>
      <c r="D252" s="1" t="s">
        <v>3478</v>
      </c>
      <c r="E252" s="1" t="s">
        <v>1033</v>
      </c>
      <c r="F252" s="1" t="s">
        <v>14</v>
      </c>
      <c r="G252" s="4" t="str">
        <f>"07936-3798"</f>
        <v>07936-3798</v>
      </c>
      <c r="H252" s="1">
        <v>4</v>
      </c>
      <c r="I252" s="1">
        <v>1.7</v>
      </c>
      <c r="J252" s="1">
        <v>0</v>
      </c>
      <c r="K252" s="1">
        <v>85</v>
      </c>
      <c r="L252" s="1" t="s">
        <v>989</v>
      </c>
      <c r="M252" s="1" t="s">
        <v>3480</v>
      </c>
      <c r="N252" s="1" t="s">
        <v>12</v>
      </c>
      <c r="O252" s="1" t="s">
        <v>3481</v>
      </c>
    </row>
    <row r="253" spans="1:15" x14ac:dyDescent="0.4">
      <c r="A253" s="1" t="s">
        <v>2460</v>
      </c>
      <c r="B253" s="1" t="s">
        <v>2416</v>
      </c>
      <c r="C253" s="1" t="s">
        <v>2463</v>
      </c>
      <c r="D253" s="1" t="s">
        <v>1624</v>
      </c>
      <c r="E253" s="1" t="s">
        <v>2239</v>
      </c>
      <c r="F253" s="1" t="s">
        <v>14</v>
      </c>
      <c r="G253" s="4" t="str">
        <f>"07302-4342"</f>
        <v>07302-4342</v>
      </c>
      <c r="H253" s="1">
        <v>175</v>
      </c>
      <c r="I253" s="1">
        <v>28.9</v>
      </c>
      <c r="J253" s="1">
        <v>0</v>
      </c>
      <c r="K253" s="1">
        <v>84</v>
      </c>
      <c r="L253" s="1" t="s">
        <v>1589</v>
      </c>
      <c r="M253" s="1" t="s">
        <v>2461</v>
      </c>
      <c r="N253" s="1" t="s">
        <v>12</v>
      </c>
      <c r="O253" s="1" t="s">
        <v>2462</v>
      </c>
    </row>
    <row r="254" spans="1:15" x14ac:dyDescent="0.4">
      <c r="A254" s="1" t="s">
        <v>4252</v>
      </c>
      <c r="B254" s="1" t="s">
        <v>4251</v>
      </c>
      <c r="C254" s="1" t="s">
        <v>4255</v>
      </c>
      <c r="D254" s="1" t="s">
        <v>4256</v>
      </c>
      <c r="E254" s="1" t="s">
        <v>4687</v>
      </c>
      <c r="F254" s="1" t="s">
        <v>14</v>
      </c>
      <c r="G254" s="4" t="str">
        <f>"07416"</f>
        <v>07416</v>
      </c>
      <c r="H254" s="1">
        <v>69</v>
      </c>
      <c r="I254" s="1">
        <v>13.1</v>
      </c>
      <c r="J254" s="1">
        <v>0</v>
      </c>
      <c r="K254" s="1">
        <v>49</v>
      </c>
      <c r="L254" s="1" t="s">
        <v>165</v>
      </c>
      <c r="M254" s="1" t="s">
        <v>4253</v>
      </c>
      <c r="N254" s="1" t="s">
        <v>12</v>
      </c>
      <c r="O254" s="1" t="s">
        <v>4254</v>
      </c>
    </row>
    <row r="255" spans="1:15" x14ac:dyDescent="0.4">
      <c r="A255" s="1" t="s">
        <v>700</v>
      </c>
      <c r="B255" s="1" t="s">
        <v>699</v>
      </c>
      <c r="C255" s="1" t="s">
        <v>704</v>
      </c>
      <c r="D255" s="1" t="s">
        <v>705</v>
      </c>
      <c r="E255" s="1" t="s">
        <v>4675</v>
      </c>
      <c r="F255" s="1" t="s">
        <v>14</v>
      </c>
      <c r="G255" s="4" t="str">
        <f>"07031"</f>
        <v>07031</v>
      </c>
      <c r="H255" s="1">
        <v>6</v>
      </c>
      <c r="I255" s="1">
        <v>4.5</v>
      </c>
      <c r="J255" s="1">
        <v>0</v>
      </c>
      <c r="K255" s="1">
        <v>18</v>
      </c>
      <c r="L255" s="1" t="s">
        <v>701</v>
      </c>
      <c r="M255" s="1" t="s">
        <v>702</v>
      </c>
      <c r="N255" s="1" t="s">
        <v>12</v>
      </c>
      <c r="O255" s="1" t="s">
        <v>703</v>
      </c>
    </row>
    <row r="256" spans="1:15" x14ac:dyDescent="0.4">
      <c r="A256" s="1" t="s">
        <v>2913</v>
      </c>
      <c r="B256" s="1" t="s">
        <v>2902</v>
      </c>
      <c r="C256" s="1" t="s">
        <v>2914</v>
      </c>
      <c r="D256" s="1" t="s">
        <v>2911</v>
      </c>
      <c r="E256" s="1" t="s">
        <v>2962</v>
      </c>
      <c r="F256" s="1" t="s">
        <v>14</v>
      </c>
      <c r="G256" s="4" t="str">
        <f>"08820"</f>
        <v>08820</v>
      </c>
      <c r="H256" s="1">
        <v>180</v>
      </c>
      <c r="I256" s="1">
        <v>100</v>
      </c>
      <c r="J256" s="1">
        <v>0</v>
      </c>
      <c r="K256" s="1">
        <v>0</v>
      </c>
      <c r="L256" s="1" t="s">
        <v>265</v>
      </c>
      <c r="M256" s="1" t="s">
        <v>2908</v>
      </c>
      <c r="N256" s="1" t="s">
        <v>134</v>
      </c>
      <c r="O256" s="1" t="s">
        <v>2909</v>
      </c>
    </row>
    <row r="257" spans="1:15" x14ac:dyDescent="0.4">
      <c r="A257" s="1" t="s">
        <v>4573</v>
      </c>
      <c r="B257" s="1" t="s">
        <v>4564</v>
      </c>
      <c r="C257" s="1" t="s">
        <v>4577</v>
      </c>
      <c r="D257" s="1" t="s">
        <v>1599</v>
      </c>
      <c r="E257" s="1" t="s">
        <v>4594</v>
      </c>
      <c r="F257" s="1" t="s">
        <v>14</v>
      </c>
      <c r="G257" s="4" t="str">
        <f>"07083-4752"</f>
        <v>07083-4752</v>
      </c>
      <c r="H257" s="1">
        <v>56</v>
      </c>
      <c r="I257" s="1">
        <v>12.4</v>
      </c>
      <c r="J257" s="1">
        <v>0</v>
      </c>
      <c r="K257" s="1">
        <v>77</v>
      </c>
      <c r="L257" s="1" t="s">
        <v>4574</v>
      </c>
      <c r="M257" s="1" t="s">
        <v>4575</v>
      </c>
      <c r="N257" s="1" t="s">
        <v>12</v>
      </c>
      <c r="O257" s="1" t="s">
        <v>4576</v>
      </c>
    </row>
    <row r="258" spans="1:15" x14ac:dyDescent="0.4">
      <c r="A258" s="1" t="s">
        <v>311</v>
      </c>
      <c r="B258" s="1" t="s">
        <v>308</v>
      </c>
      <c r="C258" s="1" t="s">
        <v>315</v>
      </c>
      <c r="D258" s="1" t="s">
        <v>309</v>
      </c>
      <c r="E258" s="1" t="s">
        <v>4675</v>
      </c>
      <c r="F258" s="1" t="s">
        <v>14</v>
      </c>
      <c r="G258" s="4" t="str">
        <f>"07621"</f>
        <v>07621</v>
      </c>
      <c r="H258" s="1">
        <v>30</v>
      </c>
      <c r="I258" s="1">
        <v>8.5</v>
      </c>
      <c r="J258" s="1">
        <v>0</v>
      </c>
      <c r="K258" s="1">
        <v>53</v>
      </c>
      <c r="L258" s="1" t="s">
        <v>312</v>
      </c>
      <c r="M258" s="1" t="s">
        <v>313</v>
      </c>
      <c r="N258" s="1" t="s">
        <v>12</v>
      </c>
      <c r="O258" s="1" t="s">
        <v>314</v>
      </c>
    </row>
    <row r="259" spans="1:15" x14ac:dyDescent="0.4">
      <c r="A259" s="1" t="s">
        <v>311</v>
      </c>
      <c r="B259" s="1" t="s">
        <v>1791</v>
      </c>
      <c r="C259" s="1" t="s">
        <v>1797</v>
      </c>
      <c r="D259" s="1" t="s">
        <v>1792</v>
      </c>
      <c r="E259" s="1" t="s">
        <v>4675</v>
      </c>
      <c r="F259" s="1" t="s">
        <v>14</v>
      </c>
      <c r="G259" s="4" t="str">
        <f>"07003-3875"</f>
        <v>07003-3875</v>
      </c>
      <c r="H259" s="1">
        <v>30</v>
      </c>
      <c r="I259" s="1">
        <v>8.5</v>
      </c>
      <c r="J259" s="1">
        <v>0</v>
      </c>
      <c r="K259" s="1">
        <v>53</v>
      </c>
      <c r="L259" s="1" t="s">
        <v>1794</v>
      </c>
      <c r="M259" s="1" t="s">
        <v>1795</v>
      </c>
      <c r="N259" s="1" t="s">
        <v>12</v>
      </c>
      <c r="O259" s="1" t="s">
        <v>1796</v>
      </c>
    </row>
    <row r="260" spans="1:15" x14ac:dyDescent="0.4">
      <c r="A260" s="1" t="s">
        <v>311</v>
      </c>
      <c r="B260" s="1" t="s">
        <v>1952</v>
      </c>
      <c r="C260" s="1" t="s">
        <v>2016</v>
      </c>
      <c r="D260" s="1" t="s">
        <v>1610</v>
      </c>
      <c r="E260" s="1" t="s">
        <v>4675</v>
      </c>
      <c r="F260" s="1" t="s">
        <v>14</v>
      </c>
      <c r="G260" s="4" t="str">
        <f>"07104-1044"</f>
        <v>07104-1044</v>
      </c>
      <c r="H260" s="1">
        <v>30</v>
      </c>
      <c r="I260" s="1">
        <v>8.5</v>
      </c>
      <c r="J260" s="1">
        <v>0</v>
      </c>
      <c r="K260" s="1">
        <v>53</v>
      </c>
      <c r="L260" s="1" t="s">
        <v>290</v>
      </c>
      <c r="M260" s="1" t="s">
        <v>2014</v>
      </c>
      <c r="N260" s="1" t="s">
        <v>12</v>
      </c>
      <c r="O260" s="1" t="s">
        <v>2015</v>
      </c>
    </row>
    <row r="261" spans="1:15" x14ac:dyDescent="0.4">
      <c r="A261" s="1" t="s">
        <v>311</v>
      </c>
      <c r="B261" s="1" t="s">
        <v>1622</v>
      </c>
      <c r="C261" s="1" t="s">
        <v>2518</v>
      </c>
      <c r="D261" s="1" t="s">
        <v>2519</v>
      </c>
      <c r="E261" s="1" t="s">
        <v>4675</v>
      </c>
      <c r="F261" s="1" t="s">
        <v>14</v>
      </c>
      <c r="G261" s="4" t="str">
        <f>"07032-3328"</f>
        <v>07032-3328</v>
      </c>
      <c r="H261" s="1">
        <v>30</v>
      </c>
      <c r="I261" s="1">
        <v>8.5</v>
      </c>
      <c r="J261" s="1">
        <v>0</v>
      </c>
      <c r="K261" s="1">
        <v>53</v>
      </c>
      <c r="L261" s="1" t="s">
        <v>1073</v>
      </c>
      <c r="M261" s="1" t="s">
        <v>2516</v>
      </c>
      <c r="N261" s="1" t="s">
        <v>12</v>
      </c>
      <c r="O261" s="1" t="s">
        <v>2517</v>
      </c>
    </row>
    <row r="262" spans="1:15" x14ac:dyDescent="0.4">
      <c r="A262" s="1" t="s">
        <v>311</v>
      </c>
      <c r="B262" s="1" t="s">
        <v>2536</v>
      </c>
      <c r="C262" s="1" t="s">
        <v>2540</v>
      </c>
      <c r="D262" s="1" t="s">
        <v>2541</v>
      </c>
      <c r="E262" s="1" t="s">
        <v>4675</v>
      </c>
      <c r="F262" s="1" t="s">
        <v>14</v>
      </c>
      <c r="G262" s="4" t="str">
        <f>"07047-5916"</f>
        <v>07047-5916</v>
      </c>
      <c r="H262" s="1">
        <v>30</v>
      </c>
      <c r="I262" s="1">
        <v>8.5</v>
      </c>
      <c r="J262" s="1">
        <v>0</v>
      </c>
      <c r="K262" s="1">
        <v>53</v>
      </c>
      <c r="L262" s="1" t="s">
        <v>2537</v>
      </c>
      <c r="M262" s="1" t="s">
        <v>2538</v>
      </c>
      <c r="N262" s="1" t="s">
        <v>12</v>
      </c>
      <c r="O262" s="1" t="s">
        <v>2539</v>
      </c>
    </row>
    <row r="263" spans="1:15" x14ac:dyDescent="0.4">
      <c r="A263" s="1" t="s">
        <v>311</v>
      </c>
      <c r="B263" s="1" t="s">
        <v>2838</v>
      </c>
      <c r="C263" s="1" t="s">
        <v>2842</v>
      </c>
      <c r="D263" s="1" t="s">
        <v>1623</v>
      </c>
      <c r="E263" s="1" t="s">
        <v>4675</v>
      </c>
      <c r="F263" s="1" t="s">
        <v>14</v>
      </c>
      <c r="G263" s="4" t="str">
        <f>"08610"</f>
        <v>08610</v>
      </c>
      <c r="H263" s="1">
        <v>30</v>
      </c>
      <c r="I263" s="1">
        <v>8.5</v>
      </c>
      <c r="J263" s="1">
        <v>0</v>
      </c>
      <c r="K263" s="1">
        <v>53</v>
      </c>
      <c r="L263" s="1" t="s">
        <v>2839</v>
      </c>
      <c r="M263" s="1" t="s">
        <v>2840</v>
      </c>
      <c r="N263" s="1" t="s">
        <v>12</v>
      </c>
      <c r="O263" s="1" t="s">
        <v>2841</v>
      </c>
    </row>
    <row r="264" spans="1:15" x14ac:dyDescent="0.4">
      <c r="A264" s="1" t="s">
        <v>311</v>
      </c>
      <c r="B264" s="1" t="s">
        <v>3105</v>
      </c>
      <c r="C264" s="1" t="s">
        <v>3108</v>
      </c>
      <c r="D264" s="1" t="s">
        <v>3109</v>
      </c>
      <c r="E264" s="1" t="s">
        <v>4675</v>
      </c>
      <c r="F264" s="1" t="s">
        <v>14</v>
      </c>
      <c r="G264" s="4" t="str">
        <f>"07080"</f>
        <v>07080</v>
      </c>
      <c r="H264" s="1">
        <v>30</v>
      </c>
      <c r="I264" s="1">
        <v>8.5</v>
      </c>
      <c r="J264" s="1">
        <v>0</v>
      </c>
      <c r="K264" s="1">
        <v>53</v>
      </c>
      <c r="L264" s="1" t="s">
        <v>1053</v>
      </c>
      <c r="M264" s="1" t="s">
        <v>3106</v>
      </c>
      <c r="N264" s="1" t="s">
        <v>12</v>
      </c>
      <c r="O264" s="1" t="s">
        <v>3107</v>
      </c>
    </row>
    <row r="265" spans="1:15" x14ac:dyDescent="0.4">
      <c r="A265" s="1" t="s">
        <v>311</v>
      </c>
      <c r="B265" s="1" t="s">
        <v>3612</v>
      </c>
      <c r="C265" s="1" t="s">
        <v>3616</v>
      </c>
      <c r="D265" s="1" t="s">
        <v>3613</v>
      </c>
      <c r="E265" s="1" t="s">
        <v>4675</v>
      </c>
      <c r="F265" s="1" t="s">
        <v>14</v>
      </c>
      <c r="G265" s="4" t="str">
        <f>"07876-1419"</f>
        <v>07876-1419</v>
      </c>
      <c r="H265" s="1">
        <v>30</v>
      </c>
      <c r="I265" s="1">
        <v>8.5</v>
      </c>
      <c r="J265" s="1">
        <v>0</v>
      </c>
      <c r="K265" s="1">
        <v>53</v>
      </c>
      <c r="L265" s="1" t="s">
        <v>70</v>
      </c>
      <c r="M265" s="1" t="s">
        <v>3614</v>
      </c>
      <c r="N265" s="1" t="s">
        <v>12</v>
      </c>
      <c r="O265" s="1" t="s">
        <v>3615</v>
      </c>
    </row>
    <row r="266" spans="1:15" x14ac:dyDescent="0.4">
      <c r="A266" s="1" t="s">
        <v>311</v>
      </c>
      <c r="B266" s="1" t="s">
        <v>4500</v>
      </c>
      <c r="C266" s="1" t="s">
        <v>4503</v>
      </c>
      <c r="D266" s="1" t="s">
        <v>4504</v>
      </c>
      <c r="E266" s="1" t="s">
        <v>4675</v>
      </c>
      <c r="F266" s="1" t="s">
        <v>14</v>
      </c>
      <c r="G266" s="4" t="str">
        <f>"07065-2003"</f>
        <v>07065-2003</v>
      </c>
      <c r="H266" s="1">
        <v>30</v>
      </c>
      <c r="I266" s="1">
        <v>8.5</v>
      </c>
      <c r="J266" s="1">
        <v>0</v>
      </c>
      <c r="K266" s="1">
        <v>53</v>
      </c>
      <c r="L266" s="1" t="s">
        <v>470</v>
      </c>
      <c r="M266" s="1" t="s">
        <v>4501</v>
      </c>
      <c r="N266" s="1" t="s">
        <v>12</v>
      </c>
      <c r="O266" s="1" t="s">
        <v>4502</v>
      </c>
    </row>
    <row r="267" spans="1:15" x14ac:dyDescent="0.4">
      <c r="A267" s="1" t="s">
        <v>311</v>
      </c>
      <c r="B267" s="1" t="s">
        <v>4550</v>
      </c>
      <c r="C267" s="1" t="s">
        <v>4554</v>
      </c>
      <c r="D267" s="1" t="s">
        <v>4551</v>
      </c>
      <c r="E267" s="1" t="s">
        <v>4675</v>
      </c>
      <c r="F267" s="1" t="s">
        <v>14</v>
      </c>
      <c r="G267" s="4" t="str">
        <f>"07901-2313"</f>
        <v>07901-2313</v>
      </c>
      <c r="H267" s="1">
        <v>30</v>
      </c>
      <c r="I267" s="1">
        <v>8.5</v>
      </c>
      <c r="J267" s="1">
        <v>0</v>
      </c>
      <c r="K267" s="1">
        <v>53</v>
      </c>
      <c r="L267" s="1" t="s">
        <v>1690</v>
      </c>
      <c r="M267" s="1" t="s">
        <v>4552</v>
      </c>
      <c r="N267" s="1" t="s">
        <v>12</v>
      </c>
      <c r="O267" s="1" t="s">
        <v>4553</v>
      </c>
    </row>
    <row r="268" spans="1:15" x14ac:dyDescent="0.4">
      <c r="A268" s="1" t="s">
        <v>311</v>
      </c>
      <c r="B268" s="1" t="s">
        <v>4595</v>
      </c>
      <c r="C268" s="1" t="s">
        <v>4598</v>
      </c>
      <c r="D268" s="1" t="s">
        <v>4593</v>
      </c>
      <c r="E268" s="1" t="s">
        <v>4675</v>
      </c>
      <c r="F268" s="1" t="s">
        <v>14</v>
      </c>
      <c r="G268" s="4" t="str">
        <f>"07090-3907"</f>
        <v>07090-3907</v>
      </c>
      <c r="H268" s="1">
        <v>30</v>
      </c>
      <c r="I268" s="1">
        <v>8.5</v>
      </c>
      <c r="J268" s="1">
        <v>0</v>
      </c>
      <c r="K268" s="1">
        <v>53</v>
      </c>
      <c r="L268" s="1" t="s">
        <v>439</v>
      </c>
      <c r="M268" s="1" t="s">
        <v>4596</v>
      </c>
      <c r="N268" s="1" t="s">
        <v>12</v>
      </c>
      <c r="O268" s="1" t="s">
        <v>4597</v>
      </c>
    </row>
    <row r="269" spans="1:15" x14ac:dyDescent="0.4">
      <c r="A269" s="1" t="s">
        <v>4160</v>
      </c>
      <c r="B269" s="1" t="s">
        <v>4148</v>
      </c>
      <c r="C269" s="1" t="s">
        <v>4163</v>
      </c>
      <c r="D269" s="1" t="s">
        <v>4152</v>
      </c>
      <c r="E269" s="1" t="s">
        <v>1597</v>
      </c>
      <c r="F269" s="1" t="s">
        <v>14</v>
      </c>
      <c r="G269" s="4" t="str">
        <f>"08823-1250"</f>
        <v>08823-1250</v>
      </c>
      <c r="H269" s="1">
        <v>193</v>
      </c>
      <c r="I269" s="1">
        <v>28.8</v>
      </c>
      <c r="J269" s="1">
        <v>0</v>
      </c>
      <c r="K269" s="1">
        <v>86</v>
      </c>
      <c r="L269" s="1" t="s">
        <v>40</v>
      </c>
      <c r="M269" s="1" t="s">
        <v>4161</v>
      </c>
      <c r="N269" s="1" t="s">
        <v>12</v>
      </c>
      <c r="O269" s="1" t="s">
        <v>4162</v>
      </c>
    </row>
    <row r="270" spans="1:15" x14ac:dyDescent="0.4">
      <c r="A270" s="1" t="s">
        <v>2669</v>
      </c>
      <c r="B270" s="1" t="s">
        <v>2668</v>
      </c>
      <c r="C270" s="1" t="s">
        <v>2672</v>
      </c>
      <c r="D270" s="1" t="s">
        <v>2673</v>
      </c>
      <c r="E270" s="1" t="s">
        <v>4682</v>
      </c>
      <c r="F270" s="1" t="s">
        <v>14</v>
      </c>
      <c r="G270" s="4" t="str">
        <f>"08868-0368"</f>
        <v>08868-0368</v>
      </c>
      <c r="H270" s="1">
        <v>26</v>
      </c>
      <c r="I270" s="1">
        <v>8.8000000000000007</v>
      </c>
      <c r="J270" s="1">
        <v>0</v>
      </c>
      <c r="K270" s="1">
        <v>37</v>
      </c>
      <c r="L270" s="1" t="s">
        <v>442</v>
      </c>
      <c r="M270" s="1" t="s">
        <v>2670</v>
      </c>
      <c r="N270" s="1" t="s">
        <v>12</v>
      </c>
      <c r="O270" s="1" t="s">
        <v>2671</v>
      </c>
    </row>
    <row r="271" spans="1:15" x14ac:dyDescent="0.4">
      <c r="A271" s="1" t="s">
        <v>2669</v>
      </c>
      <c r="B271" s="1" t="s">
        <v>2668</v>
      </c>
      <c r="C271" s="1" t="s">
        <v>4629</v>
      </c>
      <c r="D271" s="1" t="s">
        <v>4630</v>
      </c>
      <c r="E271" s="1" t="s">
        <v>4682</v>
      </c>
      <c r="F271" s="1" t="s">
        <v>14</v>
      </c>
      <c r="G271" s="4" t="str">
        <f>"07882"</f>
        <v>07882</v>
      </c>
      <c r="H271" s="1">
        <v>26</v>
      </c>
      <c r="I271" s="1">
        <v>8.8000000000000007</v>
      </c>
      <c r="J271" s="1">
        <v>0</v>
      </c>
      <c r="K271" s="1">
        <v>37</v>
      </c>
      <c r="L271" s="1" t="s">
        <v>4626</v>
      </c>
      <c r="M271" s="1" t="s">
        <v>4627</v>
      </c>
      <c r="N271" s="1" t="s">
        <v>12</v>
      </c>
      <c r="O271" s="1" t="s">
        <v>4628</v>
      </c>
    </row>
    <row r="272" spans="1:15" x14ac:dyDescent="0.4">
      <c r="A272" s="1" t="s">
        <v>4258</v>
      </c>
      <c r="B272" s="1" t="s">
        <v>4257</v>
      </c>
      <c r="C272" s="1" t="s">
        <v>4261</v>
      </c>
      <c r="D272" s="1" t="s">
        <v>4245</v>
      </c>
      <c r="E272" s="1" t="s">
        <v>4687</v>
      </c>
      <c r="F272" s="1" t="s">
        <v>14</v>
      </c>
      <c r="G272" s="4" t="str">
        <f>"07860"</f>
        <v>07860</v>
      </c>
      <c r="H272" s="1">
        <v>26</v>
      </c>
      <c r="I272" s="1">
        <v>12.8</v>
      </c>
      <c r="J272" s="1">
        <v>0</v>
      </c>
      <c r="K272" s="1">
        <v>19</v>
      </c>
      <c r="L272" s="1" t="s">
        <v>70</v>
      </c>
      <c r="M272" s="1" t="s">
        <v>4259</v>
      </c>
      <c r="N272" s="1" t="s">
        <v>134</v>
      </c>
      <c r="O272" s="1" t="s">
        <v>4260</v>
      </c>
    </row>
    <row r="273" spans="1:15" x14ac:dyDescent="0.4">
      <c r="A273" s="1" t="s">
        <v>3200</v>
      </c>
      <c r="B273" s="1" t="s">
        <v>3198</v>
      </c>
      <c r="C273" s="1" t="s">
        <v>3202</v>
      </c>
      <c r="D273" s="1" t="s">
        <v>3203</v>
      </c>
      <c r="E273" s="1" t="s">
        <v>4684</v>
      </c>
      <c r="F273" s="1" t="s">
        <v>14</v>
      </c>
      <c r="G273" s="4" t="str">
        <f>"07728-2212"</f>
        <v>07728-2212</v>
      </c>
      <c r="H273" s="1">
        <v>106</v>
      </c>
      <c r="I273" s="1">
        <v>18.899999999999999</v>
      </c>
      <c r="J273" s="1">
        <v>0</v>
      </c>
      <c r="K273" s="1">
        <v>154</v>
      </c>
      <c r="L273" s="1" t="s">
        <v>317</v>
      </c>
      <c r="M273" s="1" t="s">
        <v>365</v>
      </c>
      <c r="N273" s="1" t="s">
        <v>12</v>
      </c>
      <c r="O273" s="1" t="s">
        <v>3201</v>
      </c>
    </row>
    <row r="274" spans="1:15" x14ac:dyDescent="0.4">
      <c r="A274" s="1" t="s">
        <v>2675</v>
      </c>
      <c r="B274" s="1" t="s">
        <v>2674</v>
      </c>
      <c r="C274" s="1" t="s">
        <v>2678</v>
      </c>
      <c r="D274" s="1" t="s">
        <v>2679</v>
      </c>
      <c r="E274" s="1" t="s">
        <v>4682</v>
      </c>
      <c r="F274" s="1" t="s">
        <v>14</v>
      </c>
      <c r="G274" s="4" t="str">
        <f>"08825-1124"</f>
        <v>08825-1124</v>
      </c>
      <c r="H274" s="1">
        <v>10</v>
      </c>
      <c r="I274" s="1">
        <v>10.3</v>
      </c>
      <c r="J274" s="1">
        <v>0</v>
      </c>
      <c r="K274" s="1">
        <v>9</v>
      </c>
      <c r="L274" s="1" t="s">
        <v>34</v>
      </c>
      <c r="M274" s="1" t="s">
        <v>2676</v>
      </c>
      <c r="N274" s="1" t="s">
        <v>134</v>
      </c>
      <c r="O274" s="1" t="s">
        <v>2677</v>
      </c>
    </row>
    <row r="275" spans="1:15" x14ac:dyDescent="0.4">
      <c r="A275" s="1" t="s">
        <v>2892</v>
      </c>
      <c r="B275" s="1" t="s">
        <v>2883</v>
      </c>
      <c r="C275" s="1" t="s">
        <v>2895</v>
      </c>
      <c r="D275" s="1" t="s">
        <v>2888</v>
      </c>
      <c r="E275" s="1" t="s">
        <v>2962</v>
      </c>
      <c r="F275" s="1" t="s">
        <v>14</v>
      </c>
      <c r="G275" s="4" t="str">
        <f>"08816"</f>
        <v>08816</v>
      </c>
      <c r="H275" s="1">
        <v>9</v>
      </c>
      <c r="I275" s="1">
        <v>2.2999999999999998</v>
      </c>
      <c r="J275" s="1">
        <v>0</v>
      </c>
      <c r="K275" s="1">
        <v>57</v>
      </c>
      <c r="L275" s="1" t="s">
        <v>2893</v>
      </c>
      <c r="M275" s="1" t="s">
        <v>2459</v>
      </c>
      <c r="N275" s="1" t="s">
        <v>12</v>
      </c>
      <c r="O275" s="1" t="s">
        <v>2894</v>
      </c>
    </row>
    <row r="276" spans="1:15" x14ac:dyDescent="0.4">
      <c r="A276" s="1" t="s">
        <v>3131</v>
      </c>
      <c r="B276" s="1" t="s">
        <v>3129</v>
      </c>
      <c r="C276" s="1" t="s">
        <v>3134</v>
      </c>
      <c r="D276" s="1" t="s">
        <v>3130</v>
      </c>
      <c r="E276" s="1" t="s">
        <v>2962</v>
      </c>
      <c r="F276" s="1" t="s">
        <v>14</v>
      </c>
      <c r="G276" s="4" t="str">
        <f>"08884"</f>
        <v>08884</v>
      </c>
      <c r="H276" s="1">
        <v>64</v>
      </c>
      <c r="I276" s="1">
        <v>27.2</v>
      </c>
      <c r="J276" s="1">
        <v>0</v>
      </c>
      <c r="K276" s="1">
        <v>81</v>
      </c>
      <c r="L276" s="1" t="s">
        <v>15</v>
      </c>
      <c r="M276" s="1" t="s">
        <v>3132</v>
      </c>
      <c r="N276" s="1" t="s">
        <v>12</v>
      </c>
      <c r="O276" s="1" t="s">
        <v>3133</v>
      </c>
    </row>
    <row r="277" spans="1:15" x14ac:dyDescent="0.4">
      <c r="A277" s="1" t="s">
        <v>3352</v>
      </c>
      <c r="B277" s="1" t="s">
        <v>3351</v>
      </c>
      <c r="C277" s="1" t="s">
        <v>3355</v>
      </c>
      <c r="D277" s="1" t="s">
        <v>3343</v>
      </c>
      <c r="E277" s="1" t="s">
        <v>4684</v>
      </c>
      <c r="F277" s="1" t="s">
        <v>14</v>
      </c>
      <c r="G277" s="4" t="str">
        <f>"07753-4299"</f>
        <v>07753-4299</v>
      </c>
      <c r="H277" s="1">
        <v>57</v>
      </c>
      <c r="I277" s="1">
        <v>20.100000000000001</v>
      </c>
      <c r="J277" s="1">
        <v>0</v>
      </c>
      <c r="K277" s="1">
        <v>42</v>
      </c>
      <c r="L277" s="1" t="s">
        <v>16</v>
      </c>
      <c r="M277" s="1" t="s">
        <v>3353</v>
      </c>
      <c r="N277" s="1" t="s">
        <v>12</v>
      </c>
      <c r="O277" s="1" t="s">
        <v>3354</v>
      </c>
    </row>
    <row r="278" spans="1:15" x14ac:dyDescent="0.4">
      <c r="A278" s="1" t="s">
        <v>499</v>
      </c>
      <c r="B278" s="1" t="s">
        <v>488</v>
      </c>
      <c r="C278" s="1" t="s">
        <v>502</v>
      </c>
      <c r="D278" s="1" t="s">
        <v>494</v>
      </c>
      <c r="E278" s="1" t="s">
        <v>4675</v>
      </c>
      <c r="F278" s="1" t="s">
        <v>14</v>
      </c>
      <c r="G278" s="4" t="str">
        <f>"07026"</f>
        <v>07026</v>
      </c>
      <c r="H278" s="1">
        <v>204</v>
      </c>
      <c r="I278" s="1">
        <v>100</v>
      </c>
      <c r="J278" s="1">
        <v>0</v>
      </c>
      <c r="K278" s="1">
        <v>0</v>
      </c>
      <c r="L278" s="1" t="s">
        <v>58</v>
      </c>
      <c r="M278" s="1" t="s">
        <v>500</v>
      </c>
      <c r="N278" s="1" t="s">
        <v>12</v>
      </c>
      <c r="O278" s="1" t="s">
        <v>501</v>
      </c>
    </row>
    <row r="279" spans="1:15" x14ac:dyDescent="0.4">
      <c r="A279" s="1" t="s">
        <v>1191</v>
      </c>
      <c r="B279" s="1" t="s">
        <v>1190</v>
      </c>
      <c r="C279" s="1" t="s">
        <v>1195</v>
      </c>
      <c r="D279" s="1" t="s">
        <v>1196</v>
      </c>
      <c r="E279" s="1" t="s">
        <v>4676</v>
      </c>
      <c r="F279" s="1" t="s">
        <v>14</v>
      </c>
      <c r="G279" s="4" t="str">
        <f>"08046"</f>
        <v>08046</v>
      </c>
      <c r="H279" s="1">
        <v>162</v>
      </c>
      <c r="I279" s="1">
        <v>55.1</v>
      </c>
      <c r="J279" s="1">
        <v>0</v>
      </c>
      <c r="K279" s="1">
        <v>132</v>
      </c>
      <c r="L279" s="1" t="s">
        <v>1192</v>
      </c>
      <c r="M279" s="1" t="s">
        <v>1193</v>
      </c>
      <c r="N279" s="1" t="s">
        <v>12</v>
      </c>
      <c r="O279" s="1" t="s">
        <v>1194</v>
      </c>
    </row>
    <row r="280" spans="1:15" x14ac:dyDescent="0.4">
      <c r="A280" s="1" t="s">
        <v>2520</v>
      </c>
      <c r="B280" s="1" t="s">
        <v>1622</v>
      </c>
      <c r="C280" s="1" t="s">
        <v>2523</v>
      </c>
      <c r="D280" s="1" t="s">
        <v>2519</v>
      </c>
      <c r="E280" s="1" t="s">
        <v>2239</v>
      </c>
      <c r="F280" s="1" t="s">
        <v>14</v>
      </c>
      <c r="G280" s="4" t="str">
        <f>"07032-1628"</f>
        <v>07032-1628</v>
      </c>
      <c r="H280" s="1">
        <v>50</v>
      </c>
      <c r="I280" s="1">
        <v>11.7</v>
      </c>
      <c r="J280" s="1">
        <v>0</v>
      </c>
      <c r="K280" s="1">
        <v>52</v>
      </c>
      <c r="L280" s="1" t="s">
        <v>212</v>
      </c>
      <c r="M280" s="1" t="s">
        <v>2521</v>
      </c>
      <c r="N280" s="1" t="s">
        <v>12</v>
      </c>
      <c r="O280" s="1" t="s">
        <v>2522</v>
      </c>
    </row>
    <row r="281" spans="1:15" x14ac:dyDescent="0.4">
      <c r="A281" s="1" t="s">
        <v>504</v>
      </c>
      <c r="B281" s="1" t="s">
        <v>488</v>
      </c>
      <c r="C281" s="1" t="s">
        <v>508</v>
      </c>
      <c r="D281" s="1" t="s">
        <v>509</v>
      </c>
      <c r="E281" s="1" t="s">
        <v>4675</v>
      </c>
      <c r="F281" s="1" t="s">
        <v>14</v>
      </c>
      <c r="G281" s="4" t="str">
        <f>"07026"</f>
        <v>07026</v>
      </c>
      <c r="H281" s="1">
        <v>102</v>
      </c>
      <c r="I281" s="1">
        <v>100</v>
      </c>
      <c r="J281" s="1">
        <v>0</v>
      </c>
      <c r="K281" s="1">
        <v>0</v>
      </c>
      <c r="L281" s="1" t="s">
        <v>505</v>
      </c>
      <c r="M281" s="1" t="s">
        <v>506</v>
      </c>
      <c r="N281" s="1" t="s">
        <v>105</v>
      </c>
      <c r="O281" s="1" t="s">
        <v>507</v>
      </c>
    </row>
    <row r="282" spans="1:15" x14ac:dyDescent="0.4">
      <c r="A282" s="1" t="s">
        <v>510</v>
      </c>
      <c r="B282" s="1" t="s">
        <v>488</v>
      </c>
      <c r="C282" s="1" t="s">
        <v>513</v>
      </c>
      <c r="D282" s="1" t="s">
        <v>494</v>
      </c>
      <c r="E282" s="1" t="s">
        <v>4675</v>
      </c>
      <c r="F282" s="1" t="s">
        <v>14</v>
      </c>
      <c r="G282" s="4" t="str">
        <f>"07026"</f>
        <v>07026</v>
      </c>
      <c r="H282" s="1">
        <v>105</v>
      </c>
      <c r="I282" s="1">
        <v>100</v>
      </c>
      <c r="J282" s="1">
        <v>0</v>
      </c>
      <c r="K282" s="1">
        <v>0</v>
      </c>
      <c r="L282" s="1" t="s">
        <v>132</v>
      </c>
      <c r="M282" s="1" t="s">
        <v>511</v>
      </c>
      <c r="N282" s="1" t="s">
        <v>12</v>
      </c>
      <c r="O282" s="1" t="s">
        <v>512</v>
      </c>
    </row>
    <row r="283" spans="1:15" x14ac:dyDescent="0.4">
      <c r="A283" s="1" t="s">
        <v>4394</v>
      </c>
      <c r="B283" s="1" t="s">
        <v>4361</v>
      </c>
      <c r="C283" s="1" t="s">
        <v>4396</v>
      </c>
      <c r="D283" s="1" t="s">
        <v>2423</v>
      </c>
      <c r="E283" s="1" t="s">
        <v>4594</v>
      </c>
      <c r="F283" s="1" t="s">
        <v>14</v>
      </c>
      <c r="G283" s="4" t="str">
        <f>"07206-1857"</f>
        <v>07206-1857</v>
      </c>
      <c r="H283" s="1">
        <v>195</v>
      </c>
      <c r="I283" s="1">
        <v>32.799999999999997</v>
      </c>
      <c r="J283" s="1">
        <v>0</v>
      </c>
      <c r="K283" s="1">
        <v>64</v>
      </c>
      <c r="L283" s="1" t="s">
        <v>1094</v>
      </c>
      <c r="M283" s="1" t="s">
        <v>3399</v>
      </c>
      <c r="N283" s="1" t="s">
        <v>12</v>
      </c>
      <c r="O283" s="1" t="s">
        <v>4395</v>
      </c>
    </row>
    <row r="284" spans="1:15" x14ac:dyDescent="0.4">
      <c r="A284" s="1" t="s">
        <v>2017</v>
      </c>
      <c r="B284" s="1" t="s">
        <v>1952</v>
      </c>
      <c r="C284" s="1" t="s">
        <v>1975</v>
      </c>
      <c r="D284" s="1" t="s">
        <v>1610</v>
      </c>
      <c r="E284" s="1" t="s">
        <v>4681</v>
      </c>
      <c r="F284" s="1" t="s">
        <v>14</v>
      </c>
      <c r="G284" s="4" t="str">
        <f>"07112-1563"</f>
        <v>07112-1563</v>
      </c>
      <c r="H284" s="1">
        <v>92</v>
      </c>
      <c r="I284" s="1">
        <v>12.5</v>
      </c>
      <c r="J284" s="1">
        <v>0</v>
      </c>
      <c r="K284" s="1">
        <v>76</v>
      </c>
      <c r="L284" s="1" t="s">
        <v>1972</v>
      </c>
      <c r="M284" s="1" t="s">
        <v>1973</v>
      </c>
      <c r="N284" s="1" t="s">
        <v>12</v>
      </c>
      <c r="O284" s="1" t="s">
        <v>1974</v>
      </c>
    </row>
    <row r="285" spans="1:15" x14ac:dyDescent="0.4">
      <c r="A285" s="1" t="s">
        <v>706</v>
      </c>
      <c r="B285" s="1" t="s">
        <v>699</v>
      </c>
      <c r="C285" s="1" t="s">
        <v>709</v>
      </c>
      <c r="D285" s="1" t="s">
        <v>705</v>
      </c>
      <c r="E285" s="1" t="s">
        <v>4675</v>
      </c>
      <c r="F285" s="1" t="s">
        <v>14</v>
      </c>
      <c r="G285" s="4" t="str">
        <f>"07031"</f>
        <v>07031</v>
      </c>
      <c r="H285" s="1">
        <v>25</v>
      </c>
      <c r="I285" s="1">
        <v>7.8</v>
      </c>
      <c r="J285" s="1">
        <v>0</v>
      </c>
      <c r="K285" s="1">
        <v>48</v>
      </c>
      <c r="L285" s="1" t="s">
        <v>199</v>
      </c>
      <c r="M285" s="1" t="s">
        <v>707</v>
      </c>
      <c r="N285" s="1" t="s">
        <v>12</v>
      </c>
      <c r="O285" s="1" t="s">
        <v>708</v>
      </c>
    </row>
    <row r="286" spans="1:15" x14ac:dyDescent="0.4">
      <c r="A286" s="1" t="s">
        <v>706</v>
      </c>
      <c r="B286" s="1" t="s">
        <v>940</v>
      </c>
      <c r="C286" s="1" t="s">
        <v>944</v>
      </c>
      <c r="D286" s="1" t="s">
        <v>941</v>
      </c>
      <c r="E286" s="1" t="s">
        <v>4675</v>
      </c>
      <c r="F286" s="1" t="s">
        <v>14</v>
      </c>
      <c r="G286" s="4" t="str">
        <f>"07481-1935"</f>
        <v>07481-1935</v>
      </c>
      <c r="H286" s="1">
        <v>25</v>
      </c>
      <c r="I286" s="1">
        <v>7.8</v>
      </c>
      <c r="J286" s="1">
        <v>0</v>
      </c>
      <c r="K286" s="1">
        <v>48</v>
      </c>
      <c r="L286" s="1" t="s">
        <v>175</v>
      </c>
      <c r="M286" s="1" t="s">
        <v>121</v>
      </c>
      <c r="N286" s="1" t="s">
        <v>12</v>
      </c>
      <c r="O286" s="1" t="s">
        <v>943</v>
      </c>
    </row>
    <row r="287" spans="1:15" x14ac:dyDescent="0.4">
      <c r="A287" s="1" t="s">
        <v>706</v>
      </c>
      <c r="B287" s="1" t="s">
        <v>2553</v>
      </c>
      <c r="C287" s="1" t="s">
        <v>2562</v>
      </c>
      <c r="D287" s="1" t="s">
        <v>2554</v>
      </c>
      <c r="E287" s="1" t="s">
        <v>4675</v>
      </c>
      <c r="F287" s="1" t="s">
        <v>14</v>
      </c>
      <c r="G287" s="4" t="str">
        <f>"07087-4821"</f>
        <v>07087-4821</v>
      </c>
      <c r="H287" s="1">
        <v>25</v>
      </c>
      <c r="I287" s="1">
        <v>7.8</v>
      </c>
      <c r="J287" s="1">
        <v>0</v>
      </c>
      <c r="K287" s="1">
        <v>48</v>
      </c>
      <c r="L287" s="1" t="s">
        <v>2560</v>
      </c>
      <c r="M287" s="1" t="s">
        <v>1754</v>
      </c>
      <c r="N287" s="1" t="s">
        <v>12</v>
      </c>
      <c r="O287" s="1" t="s">
        <v>2561</v>
      </c>
    </row>
    <row r="288" spans="1:15" x14ac:dyDescent="0.4">
      <c r="A288" s="1" t="s">
        <v>706</v>
      </c>
      <c r="B288" s="1" t="s">
        <v>2838</v>
      </c>
      <c r="C288" s="1" t="s">
        <v>2845</v>
      </c>
      <c r="D288" s="1" t="s">
        <v>1623</v>
      </c>
      <c r="E288" s="1" t="s">
        <v>4675</v>
      </c>
      <c r="F288" s="1" t="s">
        <v>14</v>
      </c>
      <c r="G288" s="4" t="str">
        <f>"08611"</f>
        <v>08611</v>
      </c>
      <c r="H288" s="1">
        <v>25</v>
      </c>
      <c r="I288" s="1">
        <v>7.8</v>
      </c>
      <c r="J288" s="1">
        <v>0</v>
      </c>
      <c r="K288" s="1">
        <v>48</v>
      </c>
      <c r="L288" s="1" t="s">
        <v>1154</v>
      </c>
      <c r="M288" s="1" t="s">
        <v>2843</v>
      </c>
      <c r="N288" s="1" t="s">
        <v>12</v>
      </c>
      <c r="O288" s="1" t="s">
        <v>2844</v>
      </c>
    </row>
    <row r="289" spans="1:15" x14ac:dyDescent="0.4">
      <c r="A289" s="1" t="s">
        <v>407</v>
      </c>
      <c r="B289" s="1" t="s">
        <v>404</v>
      </c>
      <c r="C289" s="1" t="s">
        <v>410</v>
      </c>
      <c r="D289" s="1" t="s">
        <v>411</v>
      </c>
      <c r="E289" s="1" t="s">
        <v>4675</v>
      </c>
      <c r="F289" s="1" t="s">
        <v>14</v>
      </c>
      <c r="G289" s="4" t="str">
        <f>"07020"</f>
        <v>07020</v>
      </c>
      <c r="H289" s="1">
        <v>43</v>
      </c>
      <c r="I289" s="1">
        <v>13</v>
      </c>
      <c r="J289" s="1">
        <v>0</v>
      </c>
      <c r="K289" s="1">
        <v>116</v>
      </c>
      <c r="L289" s="1" t="s">
        <v>408</v>
      </c>
      <c r="M289" s="1" t="s">
        <v>113</v>
      </c>
      <c r="N289" s="1" t="s">
        <v>12</v>
      </c>
      <c r="O289" s="1" t="s">
        <v>409</v>
      </c>
    </row>
    <row r="290" spans="1:15" x14ac:dyDescent="0.4">
      <c r="A290" s="1" t="s">
        <v>407</v>
      </c>
      <c r="B290" s="1" t="s">
        <v>646</v>
      </c>
      <c r="C290" s="1" t="s">
        <v>650</v>
      </c>
      <c r="D290" s="1" t="s">
        <v>647</v>
      </c>
      <c r="E290" s="1" t="s">
        <v>4675</v>
      </c>
      <c r="F290" s="1" t="s">
        <v>14</v>
      </c>
      <c r="G290" s="4" t="str">
        <f>"07430"</f>
        <v>07430</v>
      </c>
      <c r="H290" s="1">
        <v>43</v>
      </c>
      <c r="I290" s="1">
        <v>13</v>
      </c>
      <c r="J290" s="1">
        <v>0</v>
      </c>
      <c r="K290" s="1">
        <v>116</v>
      </c>
      <c r="L290" s="1" t="s">
        <v>176</v>
      </c>
      <c r="M290" s="1" t="s">
        <v>648</v>
      </c>
      <c r="N290" s="1" t="s">
        <v>12</v>
      </c>
      <c r="O290" s="1" t="s">
        <v>649</v>
      </c>
    </row>
    <row r="291" spans="1:15" x14ac:dyDescent="0.4">
      <c r="A291" s="1" t="s">
        <v>1686</v>
      </c>
      <c r="B291" s="1" t="s">
        <v>1682</v>
      </c>
      <c r="C291" s="1" t="s">
        <v>1685</v>
      </c>
      <c r="D291" s="1" t="s">
        <v>1683</v>
      </c>
      <c r="E291" s="1" t="s">
        <v>4680</v>
      </c>
      <c r="F291" s="1" t="s">
        <v>14</v>
      </c>
      <c r="G291" s="4" t="str">
        <f>"08302"</f>
        <v>08302</v>
      </c>
      <c r="H291" s="1">
        <v>316</v>
      </c>
      <c r="I291" s="1">
        <v>100</v>
      </c>
      <c r="J291" s="1">
        <v>0</v>
      </c>
      <c r="K291" s="1">
        <v>0</v>
      </c>
      <c r="L291" s="1" t="s">
        <v>1211</v>
      </c>
      <c r="M291" s="1" t="s">
        <v>1687</v>
      </c>
      <c r="N291" s="1" t="s">
        <v>12</v>
      </c>
      <c r="O291" s="1" t="s">
        <v>1688</v>
      </c>
    </row>
    <row r="292" spans="1:15" x14ac:dyDescent="0.4">
      <c r="A292" s="1" t="s">
        <v>1337</v>
      </c>
      <c r="B292" s="1" t="s">
        <v>1336</v>
      </c>
      <c r="C292" s="1" t="s">
        <v>1340</v>
      </c>
      <c r="D292" s="1" t="s">
        <v>1341</v>
      </c>
      <c r="E292" s="1" t="s">
        <v>1271</v>
      </c>
      <c r="F292" s="1" t="s">
        <v>14</v>
      </c>
      <c r="G292" s="4" t="str">
        <f>"08026-1432"</f>
        <v>08026-1432</v>
      </c>
      <c r="H292" s="1">
        <v>38</v>
      </c>
      <c r="I292" s="1">
        <v>14.4</v>
      </c>
      <c r="J292" s="1">
        <v>0</v>
      </c>
      <c r="K292" s="1">
        <v>13</v>
      </c>
      <c r="L292" s="1" t="s">
        <v>617</v>
      </c>
      <c r="M292" s="1" t="s">
        <v>1338</v>
      </c>
      <c r="N292" s="1" t="s">
        <v>12</v>
      </c>
      <c r="O292" s="1" t="s">
        <v>1339</v>
      </c>
    </row>
    <row r="293" spans="1:15" x14ac:dyDescent="0.4">
      <c r="A293" s="1" t="s">
        <v>3510</v>
      </c>
      <c r="B293" s="1" t="s">
        <v>3509</v>
      </c>
      <c r="C293" s="1" t="s">
        <v>3512</v>
      </c>
      <c r="D293" s="1" t="s">
        <v>3513</v>
      </c>
      <c r="E293" s="1" t="s">
        <v>1033</v>
      </c>
      <c r="F293" s="1" t="s">
        <v>14</v>
      </c>
      <c r="G293" s="4" t="str">
        <f>"07933"</f>
        <v>07933</v>
      </c>
      <c r="H293" s="1">
        <v>33</v>
      </c>
      <c r="I293" s="1">
        <v>15.3</v>
      </c>
      <c r="J293" s="1">
        <v>0</v>
      </c>
      <c r="K293" s="1">
        <v>92</v>
      </c>
      <c r="L293" s="1" t="s">
        <v>201</v>
      </c>
      <c r="M293" s="1" t="s">
        <v>206</v>
      </c>
      <c r="N293" s="1" t="s">
        <v>12</v>
      </c>
      <c r="O293" s="1" t="s">
        <v>3511</v>
      </c>
    </row>
    <row r="294" spans="1:15" x14ac:dyDescent="0.4">
      <c r="A294" s="1" t="s">
        <v>2464</v>
      </c>
      <c r="B294" s="1" t="s">
        <v>2416</v>
      </c>
      <c r="C294" s="1" t="s">
        <v>2466</v>
      </c>
      <c r="D294" s="1" t="s">
        <v>1624</v>
      </c>
      <c r="E294" s="1" t="s">
        <v>2239</v>
      </c>
      <c r="F294" s="1" t="s">
        <v>14</v>
      </c>
      <c r="G294" s="4" t="str">
        <f>"07305-3603"</f>
        <v>07305-3603</v>
      </c>
      <c r="H294" s="1">
        <v>45</v>
      </c>
      <c r="I294" s="1">
        <v>17.899999999999999</v>
      </c>
      <c r="J294" s="1">
        <v>0</v>
      </c>
      <c r="K294" s="1">
        <v>35</v>
      </c>
      <c r="L294" s="1" t="s">
        <v>290</v>
      </c>
      <c r="M294" s="1" t="s">
        <v>4698</v>
      </c>
      <c r="N294" s="1" t="s">
        <v>12</v>
      </c>
      <c r="O294" s="1" t="s">
        <v>2465</v>
      </c>
    </row>
    <row r="295" spans="1:15" x14ac:dyDescent="0.4">
      <c r="A295" s="1" t="s">
        <v>1363</v>
      </c>
      <c r="B295" s="1" t="s">
        <v>1348</v>
      </c>
      <c r="C295" s="1" t="s">
        <v>1366</v>
      </c>
      <c r="D295" s="1" t="s">
        <v>1245</v>
      </c>
      <c r="E295" s="1" t="s">
        <v>1271</v>
      </c>
      <c r="F295" s="1" t="s">
        <v>14</v>
      </c>
      <c r="G295" s="4" t="str">
        <f>"08012"</f>
        <v>08012</v>
      </c>
      <c r="H295" s="1">
        <v>128</v>
      </c>
      <c r="I295" s="1">
        <v>16.100000000000001</v>
      </c>
      <c r="J295" s="1">
        <v>0</v>
      </c>
      <c r="K295" s="1">
        <v>0</v>
      </c>
      <c r="L295" s="1" t="s">
        <v>1364</v>
      </c>
      <c r="M295" s="1" t="s">
        <v>206</v>
      </c>
      <c r="N295" s="1" t="s">
        <v>12</v>
      </c>
      <c r="O295" s="1" t="s">
        <v>1365</v>
      </c>
    </row>
    <row r="296" spans="1:15" x14ac:dyDescent="0.4">
      <c r="A296" s="1" t="s">
        <v>822</v>
      </c>
      <c r="B296" s="1" t="s">
        <v>819</v>
      </c>
      <c r="C296" s="1" t="s">
        <v>827</v>
      </c>
      <c r="D296" s="1" t="s">
        <v>820</v>
      </c>
      <c r="E296" s="1" t="s">
        <v>4675</v>
      </c>
      <c r="F296" s="1" t="s">
        <v>14</v>
      </c>
      <c r="G296" s="4" t="str">
        <f>"07451"</f>
        <v>07451</v>
      </c>
      <c r="H296" s="1">
        <v>125</v>
      </c>
      <c r="I296" s="1">
        <v>99.2</v>
      </c>
      <c r="J296" s="1">
        <v>0</v>
      </c>
      <c r="K296" s="1">
        <v>0</v>
      </c>
      <c r="L296" s="1" t="s">
        <v>823</v>
      </c>
      <c r="M296" s="1" t="s">
        <v>824</v>
      </c>
      <c r="N296" s="1" t="s">
        <v>825</v>
      </c>
      <c r="O296" s="1" t="s">
        <v>826</v>
      </c>
    </row>
    <row r="297" spans="1:15" x14ac:dyDescent="0.4">
      <c r="A297" s="1" t="s">
        <v>1564</v>
      </c>
      <c r="B297" s="1" t="s">
        <v>1563</v>
      </c>
      <c r="C297" s="1" t="s">
        <v>1567</v>
      </c>
      <c r="D297" s="1" t="s">
        <v>1568</v>
      </c>
      <c r="E297" s="1" t="s">
        <v>4678</v>
      </c>
      <c r="F297" s="1" t="s">
        <v>14</v>
      </c>
      <c r="G297" s="4" t="str">
        <f>"08260"</f>
        <v>08260</v>
      </c>
      <c r="H297" s="1">
        <v>65</v>
      </c>
      <c r="I297" s="1">
        <v>17.7</v>
      </c>
      <c r="J297" s="1">
        <v>0</v>
      </c>
      <c r="K297" s="1">
        <v>45</v>
      </c>
      <c r="L297" s="1" t="s">
        <v>790</v>
      </c>
      <c r="M297" s="1" t="s">
        <v>1565</v>
      </c>
      <c r="N297" s="1" t="s">
        <v>12</v>
      </c>
      <c r="O297" s="1" t="s">
        <v>1566</v>
      </c>
    </row>
    <row r="298" spans="1:15" x14ac:dyDescent="0.4">
      <c r="A298" s="1" t="s">
        <v>1367</v>
      </c>
      <c r="B298" s="1" t="s">
        <v>1348</v>
      </c>
      <c r="C298" s="1" t="s">
        <v>1371</v>
      </c>
      <c r="D298" s="1" t="s">
        <v>1245</v>
      </c>
      <c r="E298" s="1" t="s">
        <v>1271</v>
      </c>
      <c r="F298" s="1" t="s">
        <v>14</v>
      </c>
      <c r="G298" s="4" t="str">
        <f>"08012-2996"</f>
        <v>08012-2996</v>
      </c>
      <c r="H298" s="1">
        <v>1</v>
      </c>
      <c r="I298" s="1">
        <v>0.4</v>
      </c>
      <c r="J298" s="1">
        <v>0</v>
      </c>
      <c r="K298" s="1">
        <v>36</v>
      </c>
      <c r="L298" s="1" t="s">
        <v>1368</v>
      </c>
      <c r="M298" s="1" t="s">
        <v>1369</v>
      </c>
      <c r="N298" s="1" t="s">
        <v>12</v>
      </c>
      <c r="O298" s="1" t="s">
        <v>1370</v>
      </c>
    </row>
    <row r="299" spans="1:15" x14ac:dyDescent="0.4">
      <c r="A299" s="1" t="s">
        <v>661</v>
      </c>
      <c r="B299" s="1" t="s">
        <v>660</v>
      </c>
      <c r="C299" s="1" t="s">
        <v>664</v>
      </c>
      <c r="D299" s="1" t="s">
        <v>665</v>
      </c>
      <c r="E299" s="1" t="s">
        <v>4675</v>
      </c>
      <c r="F299" s="1" t="s">
        <v>14</v>
      </c>
      <c r="G299" s="4" t="str">
        <f>"07432"</f>
        <v>07432</v>
      </c>
      <c r="H299" s="1">
        <v>6</v>
      </c>
      <c r="I299" s="1">
        <v>2.6</v>
      </c>
      <c r="J299" s="1">
        <v>0</v>
      </c>
      <c r="K299" s="1">
        <v>76</v>
      </c>
      <c r="L299" s="1" t="s">
        <v>376</v>
      </c>
      <c r="M299" s="1" t="s">
        <v>662</v>
      </c>
      <c r="N299" s="1" t="s">
        <v>12</v>
      </c>
      <c r="O299" s="1" t="s">
        <v>663</v>
      </c>
    </row>
    <row r="300" spans="1:15" x14ac:dyDescent="0.4">
      <c r="A300" s="1" t="s">
        <v>1853</v>
      </c>
      <c r="B300" s="1" t="s">
        <v>1826</v>
      </c>
      <c r="C300" s="1" t="s">
        <v>1856</v>
      </c>
      <c r="D300" s="1" t="s">
        <v>1612</v>
      </c>
      <c r="E300" s="1" t="s">
        <v>4681</v>
      </c>
      <c r="F300" s="1" t="s">
        <v>14</v>
      </c>
      <c r="G300" s="4" t="str">
        <f>"07017-5106"</f>
        <v>07017-5106</v>
      </c>
      <c r="H300" s="1">
        <v>52</v>
      </c>
      <c r="I300" s="1">
        <v>19.399999999999999</v>
      </c>
      <c r="J300" s="1">
        <v>0</v>
      </c>
      <c r="K300" s="1">
        <v>68</v>
      </c>
      <c r="L300" s="1" t="s">
        <v>75</v>
      </c>
      <c r="M300" s="1" t="s">
        <v>1854</v>
      </c>
      <c r="N300" s="1" t="s">
        <v>12</v>
      </c>
      <c r="O300" s="1" t="s">
        <v>1855</v>
      </c>
    </row>
    <row r="301" spans="1:15" x14ac:dyDescent="0.4">
      <c r="A301" s="1" t="s">
        <v>1615</v>
      </c>
      <c r="B301" s="1" t="s">
        <v>1615</v>
      </c>
      <c r="C301" s="1" t="s">
        <v>1618</v>
      </c>
      <c r="D301" s="1" t="s">
        <v>1389</v>
      </c>
      <c r="E301" s="1" t="s">
        <v>4679</v>
      </c>
      <c r="F301" s="1" t="s">
        <v>14</v>
      </c>
      <c r="G301" s="4" t="str">
        <f>"07102"</f>
        <v>07102</v>
      </c>
      <c r="H301" s="1">
        <v>59</v>
      </c>
      <c r="I301" s="1">
        <v>2.7</v>
      </c>
      <c r="J301" s="1">
        <v>0</v>
      </c>
      <c r="K301" s="1">
        <v>153</v>
      </c>
      <c r="L301" s="1" t="s">
        <v>1303</v>
      </c>
      <c r="M301" s="1" t="s">
        <v>1616</v>
      </c>
      <c r="N301" s="1" t="s">
        <v>1294</v>
      </c>
      <c r="O301" s="1" t="s">
        <v>1617</v>
      </c>
    </row>
    <row r="302" spans="1:15" x14ac:dyDescent="0.4">
      <c r="A302" s="1" t="s">
        <v>3356</v>
      </c>
      <c r="B302" s="1" t="s">
        <v>3351</v>
      </c>
      <c r="C302" s="1" t="s">
        <v>3359</v>
      </c>
      <c r="D302" s="1" t="s">
        <v>3343</v>
      </c>
      <c r="E302" s="1" t="s">
        <v>4684</v>
      </c>
      <c r="F302" s="1" t="s">
        <v>14</v>
      </c>
      <c r="G302" s="4" t="str">
        <f>"07753-2999"</f>
        <v>07753-2999</v>
      </c>
      <c r="H302" s="1">
        <v>79</v>
      </c>
      <c r="I302" s="1">
        <v>26.7</v>
      </c>
      <c r="J302" s="1">
        <v>0</v>
      </c>
      <c r="K302" s="1">
        <v>53</v>
      </c>
      <c r="L302" s="1" t="s">
        <v>34</v>
      </c>
      <c r="M302" s="1" t="s">
        <v>3357</v>
      </c>
      <c r="N302" s="1" t="s">
        <v>12</v>
      </c>
      <c r="O302" s="1" t="s">
        <v>3358</v>
      </c>
    </row>
    <row r="303" spans="1:15" x14ac:dyDescent="0.4">
      <c r="A303" s="1" t="s">
        <v>4263</v>
      </c>
      <c r="B303" s="1" t="s">
        <v>4262</v>
      </c>
      <c r="C303" s="1" t="s">
        <v>4267</v>
      </c>
      <c r="D303" s="1" t="s">
        <v>4268</v>
      </c>
      <c r="E303" s="1" t="s">
        <v>4687</v>
      </c>
      <c r="F303" s="1" t="s">
        <v>14</v>
      </c>
      <c r="G303" s="4" t="str">
        <f>"07839"</f>
        <v>07839</v>
      </c>
      <c r="H303" s="1">
        <v>10</v>
      </c>
      <c r="I303" s="1">
        <v>2.4</v>
      </c>
      <c r="J303" s="1">
        <v>0</v>
      </c>
      <c r="K303" s="1">
        <v>52</v>
      </c>
      <c r="L303" s="1" t="s">
        <v>4264</v>
      </c>
      <c r="M303" s="1" t="s">
        <v>4265</v>
      </c>
      <c r="N303" s="1" t="s">
        <v>12</v>
      </c>
      <c r="O303" s="1" t="s">
        <v>4266</v>
      </c>
    </row>
    <row r="304" spans="1:15" x14ac:dyDescent="0.4">
      <c r="A304" s="1" t="s">
        <v>3098</v>
      </c>
      <c r="B304" s="1" t="s">
        <v>3074</v>
      </c>
      <c r="C304" s="1" t="s">
        <v>3100</v>
      </c>
      <c r="D304" s="1" t="s">
        <v>3084</v>
      </c>
      <c r="E304" s="1" t="s">
        <v>2962</v>
      </c>
      <c r="F304" s="1" t="s">
        <v>14</v>
      </c>
      <c r="G304" s="4" t="str">
        <f>"08824"</f>
        <v>08824</v>
      </c>
      <c r="H304" s="1">
        <v>15</v>
      </c>
      <c r="I304" s="1">
        <v>3.8</v>
      </c>
      <c r="J304" s="1">
        <v>0</v>
      </c>
      <c r="K304" s="1">
        <v>55</v>
      </c>
      <c r="L304" s="1" t="s">
        <v>36</v>
      </c>
      <c r="M304" s="1" t="s">
        <v>2974</v>
      </c>
      <c r="N304" s="1" t="s">
        <v>12</v>
      </c>
      <c r="O304" s="1" t="s">
        <v>3099</v>
      </c>
    </row>
    <row r="305" spans="1:15" x14ac:dyDescent="0.4">
      <c r="A305" s="1" t="s">
        <v>2313</v>
      </c>
      <c r="B305" s="1" t="s">
        <v>2312</v>
      </c>
      <c r="C305" s="1" t="s">
        <v>2317</v>
      </c>
      <c r="D305" s="1" t="s">
        <v>2318</v>
      </c>
      <c r="E305" s="1" t="s">
        <v>4677</v>
      </c>
      <c r="F305" s="1" t="s">
        <v>14</v>
      </c>
      <c r="G305" s="4" t="str">
        <f>"08096"</f>
        <v>08096</v>
      </c>
      <c r="H305" s="1">
        <v>82</v>
      </c>
      <c r="I305" s="1">
        <v>17.100000000000001</v>
      </c>
      <c r="J305" s="1">
        <v>0</v>
      </c>
      <c r="K305" s="1">
        <v>5</v>
      </c>
      <c r="L305" s="1" t="s">
        <v>2314</v>
      </c>
      <c r="M305" s="1" t="s">
        <v>2315</v>
      </c>
      <c r="N305" s="1" t="s">
        <v>12</v>
      </c>
      <c r="O305" s="1" t="s">
        <v>2316</v>
      </c>
    </row>
    <row r="306" spans="1:15" x14ac:dyDescent="0.4">
      <c r="A306" s="1" t="s">
        <v>2309</v>
      </c>
      <c r="B306" s="1" t="s">
        <v>2308</v>
      </c>
      <c r="C306" s="1" t="s">
        <v>2311</v>
      </c>
      <c r="D306" s="1" t="s">
        <v>2204</v>
      </c>
      <c r="E306" s="1" t="s">
        <v>4677</v>
      </c>
      <c r="F306" s="1" t="s">
        <v>14</v>
      </c>
      <c r="G306" s="4" t="str">
        <f>"08080"</f>
        <v>08080</v>
      </c>
      <c r="H306" s="1">
        <v>552</v>
      </c>
      <c r="I306" s="1">
        <v>100</v>
      </c>
      <c r="J306" s="1">
        <v>0</v>
      </c>
      <c r="K306" s="1">
        <v>0</v>
      </c>
      <c r="L306" s="1" t="s">
        <v>642</v>
      </c>
      <c r="M306" s="1" t="s">
        <v>1545</v>
      </c>
      <c r="N306" s="1" t="s">
        <v>12</v>
      </c>
      <c r="O306" s="1" t="s">
        <v>2310</v>
      </c>
    </row>
    <row r="307" spans="1:15" x14ac:dyDescent="0.4">
      <c r="A307" s="1" t="s">
        <v>1905</v>
      </c>
      <c r="B307" s="1" t="s">
        <v>1897</v>
      </c>
      <c r="C307" s="1" t="s">
        <v>1908</v>
      </c>
      <c r="D307" s="1" t="s">
        <v>1593</v>
      </c>
      <c r="E307" s="1" t="s">
        <v>4681</v>
      </c>
      <c r="F307" s="1" t="s">
        <v>14</v>
      </c>
      <c r="G307" s="4" t="str">
        <f>"07111-4531"</f>
        <v>07111-4531</v>
      </c>
      <c r="H307" s="1">
        <v>69</v>
      </c>
      <c r="I307" s="1">
        <v>15.6</v>
      </c>
      <c r="J307" s="1">
        <v>0</v>
      </c>
      <c r="K307" s="1">
        <v>52</v>
      </c>
      <c r="L307" s="1" t="s">
        <v>1906</v>
      </c>
      <c r="M307" s="1" t="s">
        <v>595</v>
      </c>
      <c r="N307" s="1" t="s">
        <v>12</v>
      </c>
      <c r="O307" s="1" t="s">
        <v>1907</v>
      </c>
    </row>
    <row r="308" spans="1:15" x14ac:dyDescent="0.4">
      <c r="A308" s="1" t="s">
        <v>2018</v>
      </c>
      <c r="B308" s="1" t="s">
        <v>1952</v>
      </c>
      <c r="C308" s="1" t="s">
        <v>2021</v>
      </c>
      <c r="D308" s="1" t="s">
        <v>1610</v>
      </c>
      <c r="E308" s="1" t="s">
        <v>4681</v>
      </c>
      <c r="F308" s="1" t="s">
        <v>14</v>
      </c>
      <c r="G308" s="4" t="str">
        <f>"07103-2232"</f>
        <v>07103-2232</v>
      </c>
      <c r="H308" s="1">
        <v>41</v>
      </c>
      <c r="I308" s="1">
        <v>12.8</v>
      </c>
      <c r="J308" s="1">
        <v>0</v>
      </c>
      <c r="K308" s="1">
        <v>29</v>
      </c>
      <c r="L308" s="1" t="s">
        <v>2019</v>
      </c>
      <c r="M308" s="1" t="s">
        <v>1392</v>
      </c>
      <c r="N308" s="1" t="s">
        <v>12</v>
      </c>
      <c r="O308" s="1" t="s">
        <v>2020</v>
      </c>
    </row>
    <row r="309" spans="1:15" x14ac:dyDescent="0.4">
      <c r="A309" s="1" t="s">
        <v>2018</v>
      </c>
      <c r="B309" s="1" t="s">
        <v>4500</v>
      </c>
      <c r="C309" s="1" t="s">
        <v>4507</v>
      </c>
      <c r="D309" s="1" t="s">
        <v>4504</v>
      </c>
      <c r="E309" s="1" t="s">
        <v>4681</v>
      </c>
      <c r="F309" s="1" t="s">
        <v>14</v>
      </c>
      <c r="G309" s="4" t="str">
        <f>"07065-5202"</f>
        <v>07065-5202</v>
      </c>
      <c r="H309" s="1">
        <v>41</v>
      </c>
      <c r="I309" s="1">
        <v>12.8</v>
      </c>
      <c r="J309" s="1">
        <v>0</v>
      </c>
      <c r="K309" s="1">
        <v>29</v>
      </c>
      <c r="L309" s="1" t="s">
        <v>268</v>
      </c>
      <c r="M309" s="1" t="s">
        <v>4505</v>
      </c>
      <c r="N309" s="1" t="s">
        <v>12</v>
      </c>
      <c r="O309" s="1" t="s">
        <v>4506</v>
      </c>
    </row>
    <row r="310" spans="1:15" x14ac:dyDescent="0.4">
      <c r="A310" s="1" t="s">
        <v>3674</v>
      </c>
      <c r="B310" s="1" t="s">
        <v>3665</v>
      </c>
      <c r="C310" s="1" t="s">
        <v>3677</v>
      </c>
      <c r="D310" s="1" t="s">
        <v>3670</v>
      </c>
      <c r="E310" s="1" t="s">
        <v>4685</v>
      </c>
      <c r="F310" s="1" t="s">
        <v>14</v>
      </c>
      <c r="G310" s="4" t="str">
        <f>"08721-1833"</f>
        <v>08721-1833</v>
      </c>
      <c r="H310" s="1">
        <v>147</v>
      </c>
      <c r="I310" s="1">
        <v>23.4</v>
      </c>
      <c r="J310" s="1">
        <v>0</v>
      </c>
      <c r="K310" s="1">
        <v>88</v>
      </c>
      <c r="L310" s="1" t="s">
        <v>304</v>
      </c>
      <c r="M310" s="1" t="s">
        <v>3675</v>
      </c>
      <c r="N310" s="1" t="s">
        <v>12</v>
      </c>
      <c r="O310" s="1" t="s">
        <v>3676</v>
      </c>
    </row>
    <row r="311" spans="1:15" x14ac:dyDescent="0.4">
      <c r="A311" s="1" t="s">
        <v>17</v>
      </c>
      <c r="B311" s="1" t="s">
        <v>9</v>
      </c>
      <c r="C311" s="1" t="s">
        <v>21</v>
      </c>
      <c r="D311" s="1" t="s">
        <v>13</v>
      </c>
      <c r="E311" s="1" t="s">
        <v>4674</v>
      </c>
      <c r="F311" s="1" t="s">
        <v>14</v>
      </c>
      <c r="G311" s="4" t="str">
        <f>"08201"</f>
        <v>08201</v>
      </c>
      <c r="H311" s="1">
        <v>132</v>
      </c>
      <c r="I311" s="1">
        <v>25.5</v>
      </c>
      <c r="J311" s="1">
        <v>0</v>
      </c>
      <c r="K311" s="1">
        <v>71</v>
      </c>
      <c r="L311" s="1" t="s">
        <v>18</v>
      </c>
      <c r="M311" s="1" t="s">
        <v>19</v>
      </c>
      <c r="N311" s="1" t="s">
        <v>12</v>
      </c>
      <c r="O311" s="1" t="s">
        <v>20</v>
      </c>
    </row>
    <row r="312" spans="1:15" x14ac:dyDescent="0.4">
      <c r="A312" s="1" t="s">
        <v>3390</v>
      </c>
      <c r="B312" s="1" t="s">
        <v>3389</v>
      </c>
      <c r="C312" s="1" t="s">
        <v>3393</v>
      </c>
      <c r="D312" s="1" t="s">
        <v>3394</v>
      </c>
      <c r="E312" s="1" t="s">
        <v>4684</v>
      </c>
      <c r="F312" s="1" t="s">
        <v>14</v>
      </c>
      <c r="G312" s="4" t="str">
        <f>"07762"</f>
        <v>07762</v>
      </c>
      <c r="H312" s="1">
        <v>22</v>
      </c>
      <c r="I312" s="1">
        <v>16.899999999999999</v>
      </c>
      <c r="J312" s="1">
        <v>0</v>
      </c>
      <c r="K312" s="1">
        <v>7</v>
      </c>
      <c r="L312" s="1" t="s">
        <v>174</v>
      </c>
      <c r="M312" s="1" t="s">
        <v>3391</v>
      </c>
      <c r="N312" s="1" t="s">
        <v>12</v>
      </c>
      <c r="O312" s="1" t="s">
        <v>3392</v>
      </c>
    </row>
    <row r="313" spans="1:15" x14ac:dyDescent="0.4">
      <c r="A313" s="1" t="s">
        <v>1047</v>
      </c>
      <c r="B313" s="1" t="s">
        <v>1046</v>
      </c>
      <c r="C313" s="1" t="s">
        <v>1051</v>
      </c>
      <c r="D313" s="1" t="s">
        <v>1052</v>
      </c>
      <c r="E313" s="1" t="s">
        <v>4676</v>
      </c>
      <c r="F313" s="1" t="s">
        <v>14</v>
      </c>
      <c r="G313" s="4" t="str">
        <f>"08036"</f>
        <v>08036</v>
      </c>
      <c r="H313" s="1">
        <v>27</v>
      </c>
      <c r="I313" s="1">
        <v>5.3</v>
      </c>
      <c r="J313" s="1">
        <v>0</v>
      </c>
      <c r="K313" s="1">
        <v>42</v>
      </c>
      <c r="L313" s="1" t="s">
        <v>1048</v>
      </c>
      <c r="M313" s="1" t="s">
        <v>1049</v>
      </c>
      <c r="N313" s="1" t="s">
        <v>12</v>
      </c>
      <c r="O313" s="1" t="s">
        <v>1050</v>
      </c>
    </row>
    <row r="314" spans="1:15" x14ac:dyDescent="0.4">
      <c r="A314" s="1" t="s">
        <v>3894</v>
      </c>
      <c r="B314" s="1" t="s">
        <v>3893</v>
      </c>
      <c r="C314" s="1" t="s">
        <v>3897</v>
      </c>
      <c r="D314" s="1" t="s">
        <v>3898</v>
      </c>
      <c r="E314" s="1" t="s">
        <v>1651</v>
      </c>
      <c r="F314" s="1" t="s">
        <v>14</v>
      </c>
      <c r="G314" s="4" t="str">
        <f>"07508-1236"</f>
        <v>07508-1236</v>
      </c>
      <c r="H314" s="1">
        <v>82</v>
      </c>
      <c r="I314" s="1">
        <v>8.1999999999999993</v>
      </c>
      <c r="J314" s="1">
        <v>0</v>
      </c>
      <c r="K314" s="1">
        <v>94</v>
      </c>
      <c r="L314" s="1" t="s">
        <v>335</v>
      </c>
      <c r="M314" s="1" t="s">
        <v>3895</v>
      </c>
      <c r="N314" s="1" t="s">
        <v>12</v>
      </c>
      <c r="O314" s="1" t="s">
        <v>3896</v>
      </c>
    </row>
    <row r="315" spans="1:15" x14ac:dyDescent="0.4">
      <c r="A315" s="1" t="s">
        <v>4270</v>
      </c>
      <c r="B315" s="1" t="s">
        <v>4269</v>
      </c>
      <c r="C315" s="1" t="s">
        <v>4273</v>
      </c>
      <c r="D315" s="1" t="s">
        <v>4274</v>
      </c>
      <c r="E315" s="1" t="s">
        <v>4687</v>
      </c>
      <c r="F315" s="1" t="s">
        <v>14</v>
      </c>
      <c r="G315" s="4" t="str">
        <f>"07419"</f>
        <v>07419</v>
      </c>
      <c r="H315" s="1">
        <v>53</v>
      </c>
      <c r="I315" s="1">
        <v>21.5</v>
      </c>
      <c r="J315" s="1">
        <v>0</v>
      </c>
      <c r="K315" s="1">
        <v>28</v>
      </c>
      <c r="L315" s="1" t="s">
        <v>196</v>
      </c>
      <c r="M315" s="1" t="s">
        <v>4271</v>
      </c>
      <c r="N315" s="1" t="s">
        <v>105</v>
      </c>
      <c r="O315" s="1" t="s">
        <v>4272</v>
      </c>
    </row>
    <row r="316" spans="1:15" x14ac:dyDescent="0.4">
      <c r="A316" s="1" t="s">
        <v>189</v>
      </c>
      <c r="B316" s="1" t="s">
        <v>188</v>
      </c>
      <c r="C316" s="1" t="s">
        <v>193</v>
      </c>
      <c r="D316" s="1" t="s">
        <v>194</v>
      </c>
      <c r="E316" s="1" t="s">
        <v>4674</v>
      </c>
      <c r="F316" s="1" t="s">
        <v>14</v>
      </c>
      <c r="G316" s="4" t="str">
        <f>"08037"</f>
        <v>08037</v>
      </c>
      <c r="H316" s="1">
        <v>177</v>
      </c>
      <c r="I316" s="1">
        <v>37.299999999999997</v>
      </c>
      <c r="J316" s="1">
        <v>0</v>
      </c>
      <c r="K316" s="1">
        <v>152</v>
      </c>
      <c r="L316" s="1" t="s">
        <v>190</v>
      </c>
      <c r="M316" s="1" t="s">
        <v>191</v>
      </c>
      <c r="N316" s="1" t="s">
        <v>12</v>
      </c>
      <c r="O316" s="1" t="s">
        <v>192</v>
      </c>
    </row>
    <row r="317" spans="1:15" x14ac:dyDescent="0.4">
      <c r="A317" s="1" t="s">
        <v>2681</v>
      </c>
      <c r="B317" s="1" t="s">
        <v>2680</v>
      </c>
      <c r="C317" s="1" t="s">
        <v>2683</v>
      </c>
      <c r="D317" s="1" t="s">
        <v>2684</v>
      </c>
      <c r="E317" s="1" t="s">
        <v>4682</v>
      </c>
      <c r="F317" s="1" t="s">
        <v>14</v>
      </c>
      <c r="G317" s="4" t="str">
        <f>"08827-9502"</f>
        <v>08827-9502</v>
      </c>
      <c r="H317" s="1">
        <v>24</v>
      </c>
      <c r="I317" s="1">
        <v>21.2</v>
      </c>
      <c r="J317" s="1">
        <v>0</v>
      </c>
      <c r="K317" s="1">
        <v>19</v>
      </c>
      <c r="L317" s="1" t="s">
        <v>174</v>
      </c>
      <c r="M317" s="1" t="s">
        <v>2227</v>
      </c>
      <c r="N317" s="1" t="s">
        <v>134</v>
      </c>
      <c r="O317" s="1" t="s">
        <v>2682</v>
      </c>
    </row>
    <row r="318" spans="1:15" x14ac:dyDescent="0.4">
      <c r="A318" s="1" t="s">
        <v>4578</v>
      </c>
      <c r="B318" s="1" t="s">
        <v>4564</v>
      </c>
      <c r="C318" s="1" t="s">
        <v>4580</v>
      </c>
      <c r="D318" s="1" t="s">
        <v>1599</v>
      </c>
      <c r="E318" s="1" t="s">
        <v>4594</v>
      </c>
      <c r="F318" s="1" t="s">
        <v>14</v>
      </c>
      <c r="G318" s="4" t="str">
        <f>"07083"</f>
        <v>07083</v>
      </c>
      <c r="H318" s="1">
        <v>278</v>
      </c>
      <c r="I318" s="1">
        <v>34.200000000000003</v>
      </c>
      <c r="J318" s="1">
        <v>0</v>
      </c>
      <c r="K318" s="1">
        <v>97</v>
      </c>
      <c r="L318" s="1" t="s">
        <v>132</v>
      </c>
      <c r="M318" s="1" t="s">
        <v>3212</v>
      </c>
      <c r="N318" s="1" t="s">
        <v>12</v>
      </c>
      <c r="O318" s="1" t="s">
        <v>4579</v>
      </c>
    </row>
    <row r="319" spans="1:15" x14ac:dyDescent="0.4">
      <c r="A319" s="1" t="s">
        <v>4281</v>
      </c>
      <c r="B319" s="1" t="s">
        <v>4280</v>
      </c>
      <c r="C319" s="1" t="s">
        <v>4284</v>
      </c>
      <c r="D319" s="1" t="s">
        <v>4256</v>
      </c>
      <c r="E319" s="1" t="s">
        <v>4687</v>
      </c>
      <c r="F319" s="1" t="s">
        <v>14</v>
      </c>
      <c r="G319" s="4" t="str">
        <f>"07416"</f>
        <v>07416</v>
      </c>
      <c r="H319" s="1">
        <v>69</v>
      </c>
      <c r="I319" s="1">
        <v>19.3</v>
      </c>
      <c r="J319" s="1">
        <v>0</v>
      </c>
      <c r="K319" s="1">
        <v>54</v>
      </c>
      <c r="L319" s="1" t="s">
        <v>40</v>
      </c>
      <c r="M319" s="1" t="s">
        <v>4282</v>
      </c>
      <c r="N319" s="1" t="s">
        <v>12</v>
      </c>
      <c r="O319" s="1" t="s">
        <v>4283</v>
      </c>
    </row>
    <row r="320" spans="1:15" x14ac:dyDescent="0.4">
      <c r="A320" s="1" t="s">
        <v>3313</v>
      </c>
      <c r="B320" s="1" t="s">
        <v>3312</v>
      </c>
      <c r="C320" s="1" t="s">
        <v>3316</v>
      </c>
      <c r="D320" s="1" t="s">
        <v>3317</v>
      </c>
      <c r="E320" s="1" t="s">
        <v>4684</v>
      </c>
      <c r="F320" s="1" t="s">
        <v>14</v>
      </c>
      <c r="G320" s="4" t="str">
        <f>"07748-1699"</f>
        <v>07748-1699</v>
      </c>
      <c r="H320" s="1">
        <v>34</v>
      </c>
      <c r="I320" s="1">
        <v>7.1</v>
      </c>
      <c r="J320" s="1">
        <v>0</v>
      </c>
      <c r="K320" s="1">
        <v>71</v>
      </c>
      <c r="L320" s="1" t="s">
        <v>284</v>
      </c>
      <c r="M320" s="1" t="s">
        <v>3314</v>
      </c>
      <c r="N320" s="1" t="s">
        <v>12</v>
      </c>
      <c r="O320" s="1" t="s">
        <v>3315</v>
      </c>
    </row>
    <row r="321" spans="1:15" x14ac:dyDescent="0.4">
      <c r="A321" s="1" t="s">
        <v>2022</v>
      </c>
      <c r="B321" s="1" t="s">
        <v>1952</v>
      </c>
      <c r="C321" s="1" t="s">
        <v>2024</v>
      </c>
      <c r="D321" s="1" t="s">
        <v>1610</v>
      </c>
      <c r="E321" s="1" t="s">
        <v>4681</v>
      </c>
      <c r="F321" s="1" t="s">
        <v>14</v>
      </c>
      <c r="G321" s="4" t="str">
        <f>"07103-1802"</f>
        <v>07103-1802</v>
      </c>
      <c r="H321" s="1">
        <v>25</v>
      </c>
      <c r="I321" s="1">
        <v>8.4</v>
      </c>
      <c r="J321" s="1">
        <v>0</v>
      </c>
      <c r="K321" s="1">
        <v>33</v>
      </c>
      <c r="L321" s="1" t="s">
        <v>146</v>
      </c>
      <c r="M321" s="1" t="s">
        <v>301</v>
      </c>
      <c r="N321" s="1" t="s">
        <v>12</v>
      </c>
      <c r="O321" s="1" t="s">
        <v>2023</v>
      </c>
    </row>
    <row r="322" spans="1:15" x14ac:dyDescent="0.4">
      <c r="A322" s="1" t="s">
        <v>561</v>
      </c>
      <c r="B322" s="1" t="s">
        <v>560</v>
      </c>
      <c r="C322" s="1" t="s">
        <v>564</v>
      </c>
      <c r="D322" s="1" t="s">
        <v>565</v>
      </c>
      <c r="E322" s="1" t="s">
        <v>4675</v>
      </c>
      <c r="F322" s="1" t="s">
        <v>14</v>
      </c>
      <c r="G322" s="4" t="str">
        <f>"07640-1401"</f>
        <v>07640-1401</v>
      </c>
      <c r="H322" s="1">
        <v>17</v>
      </c>
      <c r="I322" s="1">
        <v>2.7</v>
      </c>
      <c r="J322" s="1">
        <v>0</v>
      </c>
      <c r="K322" s="1">
        <v>67</v>
      </c>
      <c r="L322" s="1" t="s">
        <v>15</v>
      </c>
      <c r="M322" s="1" t="s">
        <v>562</v>
      </c>
      <c r="N322" s="1" t="s">
        <v>12</v>
      </c>
      <c r="O322" s="1" t="s">
        <v>563</v>
      </c>
    </row>
    <row r="323" spans="1:15" x14ac:dyDescent="0.4">
      <c r="A323" s="1" t="s">
        <v>2398</v>
      </c>
      <c r="B323" s="1" t="s">
        <v>2396</v>
      </c>
      <c r="C323" s="1" t="s">
        <v>2401</v>
      </c>
      <c r="D323" s="1" t="s">
        <v>2397</v>
      </c>
      <c r="E323" s="1" t="s">
        <v>2239</v>
      </c>
      <c r="F323" s="1" t="s">
        <v>14</v>
      </c>
      <c r="G323" s="4" t="str">
        <f>"07029-1405"</f>
        <v>07029-1405</v>
      </c>
      <c r="H323" s="1">
        <v>1</v>
      </c>
      <c r="I323" s="1">
        <v>0.1</v>
      </c>
      <c r="J323" s="1">
        <v>0</v>
      </c>
      <c r="K323" s="1">
        <v>0</v>
      </c>
      <c r="L323" s="1" t="s">
        <v>989</v>
      </c>
      <c r="M323" s="1" t="s">
        <v>2399</v>
      </c>
      <c r="N323" s="1" t="s">
        <v>12</v>
      </c>
      <c r="O323" s="1" t="s">
        <v>2400</v>
      </c>
    </row>
    <row r="324" spans="1:15" x14ac:dyDescent="0.4">
      <c r="A324" s="1" t="s">
        <v>1805</v>
      </c>
      <c r="B324" s="1" t="s">
        <v>1802</v>
      </c>
      <c r="C324" s="1" t="s">
        <v>1808</v>
      </c>
      <c r="D324" s="1" t="s">
        <v>1809</v>
      </c>
      <c r="E324" s="1" t="s">
        <v>4681</v>
      </c>
      <c r="F324" s="1" t="s">
        <v>14</v>
      </c>
      <c r="G324" s="4" t="str">
        <f>"07006"</f>
        <v>07006</v>
      </c>
      <c r="H324" s="1">
        <v>23</v>
      </c>
      <c r="I324" s="1">
        <v>59</v>
      </c>
      <c r="J324" s="1">
        <v>0</v>
      </c>
      <c r="K324" s="1">
        <v>0</v>
      </c>
      <c r="L324" s="1" t="s">
        <v>78</v>
      </c>
      <c r="M324" s="1" t="s">
        <v>1806</v>
      </c>
      <c r="N324" s="1" t="s">
        <v>12</v>
      </c>
      <c r="O324" s="1" t="s">
        <v>1807</v>
      </c>
    </row>
    <row r="325" spans="1:15" x14ac:dyDescent="0.4">
      <c r="A325" s="1" t="s">
        <v>2241</v>
      </c>
      <c r="B325" s="1" t="s">
        <v>2240</v>
      </c>
      <c r="C325" s="1" t="s">
        <v>2245</v>
      </c>
      <c r="D325" s="1" t="s">
        <v>2197</v>
      </c>
      <c r="E325" s="1" t="s">
        <v>4677</v>
      </c>
      <c r="F325" s="1" t="s">
        <v>14</v>
      </c>
      <c r="G325" s="4" t="str">
        <f>"08062-9494"</f>
        <v>08062-9494</v>
      </c>
      <c r="H325" s="1">
        <v>6</v>
      </c>
      <c r="I325" s="1">
        <v>0.8</v>
      </c>
      <c r="J325" s="1">
        <v>0</v>
      </c>
      <c r="K325" s="1">
        <v>169</v>
      </c>
      <c r="L325" s="1" t="s">
        <v>2242</v>
      </c>
      <c r="M325" s="1" t="s">
        <v>2243</v>
      </c>
      <c r="N325" s="1" t="s">
        <v>12</v>
      </c>
      <c r="O325" s="1" t="s">
        <v>2244</v>
      </c>
    </row>
    <row r="326" spans="1:15" x14ac:dyDescent="0.4">
      <c r="A326" s="1" t="s">
        <v>4632</v>
      </c>
      <c r="B326" s="1" t="s">
        <v>4631</v>
      </c>
      <c r="C326" s="1" t="s">
        <v>4635</v>
      </c>
      <c r="D326" s="1" t="s">
        <v>4636</v>
      </c>
      <c r="E326" s="1" t="s">
        <v>76</v>
      </c>
      <c r="F326" s="1" t="s">
        <v>14</v>
      </c>
      <c r="G326" s="4" t="str">
        <f>"07840-2497"</f>
        <v>07840-2497</v>
      </c>
      <c r="H326" s="1">
        <v>56</v>
      </c>
      <c r="I326" s="1">
        <v>19.7</v>
      </c>
      <c r="J326" s="1">
        <v>0</v>
      </c>
      <c r="K326" s="1">
        <v>105</v>
      </c>
      <c r="L326" s="1" t="s">
        <v>4495</v>
      </c>
      <c r="M326" s="1" t="s">
        <v>4633</v>
      </c>
      <c r="N326" s="1" t="s">
        <v>12</v>
      </c>
      <c r="O326" s="1" t="s">
        <v>4634</v>
      </c>
    </row>
    <row r="327" spans="1:15" x14ac:dyDescent="0.4">
      <c r="A327" s="1" t="s">
        <v>1221</v>
      </c>
      <c r="B327" s="1" t="s">
        <v>1213</v>
      </c>
      <c r="C327" s="1" t="s">
        <v>1222</v>
      </c>
      <c r="D327" s="1" t="s">
        <v>1214</v>
      </c>
      <c r="E327" s="1" t="s">
        <v>1271</v>
      </c>
      <c r="F327" s="1" t="s">
        <v>14</v>
      </c>
      <c r="G327" s="4" t="str">
        <f>"08106"</f>
        <v>08106</v>
      </c>
      <c r="H327" s="1">
        <v>4</v>
      </c>
      <c r="I327" s="1">
        <v>1.8</v>
      </c>
      <c r="J327" s="1">
        <v>0</v>
      </c>
      <c r="K327" s="1">
        <v>72</v>
      </c>
      <c r="L327" s="1" t="s">
        <v>1216</v>
      </c>
      <c r="M327" s="1" t="s">
        <v>1217</v>
      </c>
      <c r="N327" s="1" t="s">
        <v>12</v>
      </c>
      <c r="O327" s="1" t="s">
        <v>1218</v>
      </c>
    </row>
    <row r="328" spans="1:15" x14ac:dyDescent="0.4">
      <c r="A328" s="1" t="s">
        <v>577</v>
      </c>
      <c r="B328" s="1" t="s">
        <v>576</v>
      </c>
      <c r="C328" s="1" t="s">
        <v>580</v>
      </c>
      <c r="D328" s="1" t="s">
        <v>581</v>
      </c>
      <c r="E328" s="1" t="s">
        <v>4675</v>
      </c>
      <c r="F328" s="1" t="s">
        <v>14</v>
      </c>
      <c r="G328" s="4" t="str">
        <f>"07641-1218"</f>
        <v>07641-1218</v>
      </c>
      <c r="H328" s="1">
        <v>29</v>
      </c>
      <c r="I328" s="1">
        <v>5.8</v>
      </c>
      <c r="J328" s="1">
        <v>0</v>
      </c>
      <c r="K328" s="1">
        <v>48</v>
      </c>
      <c r="L328" s="1" t="s">
        <v>103</v>
      </c>
      <c r="M328" s="1" t="s">
        <v>578</v>
      </c>
      <c r="N328" s="1" t="s">
        <v>12</v>
      </c>
      <c r="O328" s="1" t="s">
        <v>579</v>
      </c>
    </row>
    <row r="329" spans="1:15" x14ac:dyDescent="0.4">
      <c r="A329" s="1" t="s">
        <v>2025</v>
      </c>
      <c r="B329" s="1" t="s">
        <v>1952</v>
      </c>
      <c r="C329" s="1" t="s">
        <v>2028</v>
      </c>
      <c r="D329" s="1" t="s">
        <v>1610</v>
      </c>
      <c r="E329" s="1" t="s">
        <v>4681</v>
      </c>
      <c r="F329" s="1" t="s">
        <v>14</v>
      </c>
      <c r="G329" s="4" t="str">
        <f>"07112"</f>
        <v>07112</v>
      </c>
      <c r="H329" s="1">
        <v>41</v>
      </c>
      <c r="I329" s="1">
        <v>9.1999999999999993</v>
      </c>
      <c r="J329" s="1">
        <v>0</v>
      </c>
      <c r="K329" s="1">
        <v>44</v>
      </c>
      <c r="L329" s="1" t="s">
        <v>2026</v>
      </c>
      <c r="M329" s="1" t="s">
        <v>34</v>
      </c>
      <c r="N329" s="1" t="s">
        <v>12</v>
      </c>
      <c r="O329" s="1" t="s">
        <v>2027</v>
      </c>
    </row>
    <row r="330" spans="1:15" x14ac:dyDescent="0.4">
      <c r="A330" s="1" t="s">
        <v>2958</v>
      </c>
      <c r="B330" s="1" t="s">
        <v>2957</v>
      </c>
      <c r="C330" s="1" t="s">
        <v>2961</v>
      </c>
      <c r="D330" s="1" t="s">
        <v>1585</v>
      </c>
      <c r="E330" s="1" t="s">
        <v>2962</v>
      </c>
      <c r="F330" s="1" t="s">
        <v>14</v>
      </c>
      <c r="G330" s="4" t="str">
        <f>"08846"</f>
        <v>08846</v>
      </c>
      <c r="H330" s="1">
        <v>13</v>
      </c>
      <c r="I330" s="1">
        <v>6.6</v>
      </c>
      <c r="J330" s="1">
        <v>0</v>
      </c>
      <c r="K330" s="1">
        <v>30</v>
      </c>
      <c r="L330" s="1" t="s">
        <v>503</v>
      </c>
      <c r="M330" s="1" t="s">
        <v>2959</v>
      </c>
      <c r="N330" s="1" t="s">
        <v>12</v>
      </c>
      <c r="O330" s="1" t="s">
        <v>2960</v>
      </c>
    </row>
    <row r="331" spans="1:15" x14ac:dyDescent="0.4">
      <c r="A331" s="1" t="s">
        <v>4319</v>
      </c>
      <c r="B331" s="1" t="s">
        <v>4318</v>
      </c>
      <c r="C331" s="1" t="s">
        <v>4323</v>
      </c>
      <c r="D331" s="1" t="s">
        <v>1664</v>
      </c>
      <c r="E331" s="1" t="s">
        <v>4687</v>
      </c>
      <c r="F331" s="1" t="s">
        <v>14</v>
      </c>
      <c r="G331" s="4" t="str">
        <f>"07871"</f>
        <v>07871</v>
      </c>
      <c r="H331" s="1">
        <v>26</v>
      </c>
      <c r="I331" s="1">
        <v>5.2</v>
      </c>
      <c r="J331" s="1">
        <v>0</v>
      </c>
      <c r="K331" s="1">
        <v>0</v>
      </c>
      <c r="L331" s="1" t="s">
        <v>4320</v>
      </c>
      <c r="M331" s="1" t="s">
        <v>4321</v>
      </c>
      <c r="N331" s="1" t="s">
        <v>12</v>
      </c>
      <c r="O331" s="1" t="s">
        <v>4322</v>
      </c>
    </row>
    <row r="332" spans="1:15" x14ac:dyDescent="0.4">
      <c r="A332" s="1" t="s">
        <v>2352</v>
      </c>
      <c r="B332" s="1" t="s">
        <v>2350</v>
      </c>
      <c r="C332" s="1" t="s">
        <v>2355</v>
      </c>
      <c r="D332" s="1" t="s">
        <v>2351</v>
      </c>
      <c r="E332" s="1" t="s">
        <v>2239</v>
      </c>
      <c r="F332" s="1" t="s">
        <v>14</v>
      </c>
      <c r="G332" s="4" t="str">
        <f>"07002"</f>
        <v>07002</v>
      </c>
      <c r="H332" s="1">
        <v>41</v>
      </c>
      <c r="I332" s="1">
        <v>6.2</v>
      </c>
      <c r="J332" s="1">
        <v>0</v>
      </c>
      <c r="K332" s="1">
        <v>62</v>
      </c>
      <c r="L332" s="1" t="s">
        <v>457</v>
      </c>
      <c r="M332" s="1" t="s">
        <v>2353</v>
      </c>
      <c r="N332" s="1" t="s">
        <v>12</v>
      </c>
      <c r="O332" s="1" t="s">
        <v>2354</v>
      </c>
    </row>
    <row r="333" spans="1:15" x14ac:dyDescent="0.4">
      <c r="A333" s="1" t="s">
        <v>3680</v>
      </c>
      <c r="B333" s="1" t="s">
        <v>3678</v>
      </c>
      <c r="C333" s="1" t="s">
        <v>3683</v>
      </c>
      <c r="D333" s="1" t="s">
        <v>3679</v>
      </c>
      <c r="E333" s="1" t="s">
        <v>4685</v>
      </c>
      <c r="F333" s="1" t="s">
        <v>14</v>
      </c>
      <c r="G333" s="4" t="str">
        <f>"08724-1003"</f>
        <v>08724-1003</v>
      </c>
      <c r="H333" s="1">
        <v>224</v>
      </c>
      <c r="I333" s="1">
        <v>100</v>
      </c>
      <c r="J333" s="1">
        <v>0</v>
      </c>
      <c r="K333" s="1">
        <v>0</v>
      </c>
      <c r="L333" s="1" t="s">
        <v>1609</v>
      </c>
      <c r="M333" s="1" t="s">
        <v>3681</v>
      </c>
      <c r="N333" s="1" t="s">
        <v>12</v>
      </c>
      <c r="O333" s="1" t="s">
        <v>3682</v>
      </c>
    </row>
    <row r="334" spans="1:15" x14ac:dyDescent="0.4">
      <c r="A334" s="1" t="s">
        <v>2193</v>
      </c>
      <c r="B334" s="1" t="s">
        <v>2191</v>
      </c>
      <c r="C334" s="1" t="s">
        <v>2196</v>
      </c>
      <c r="D334" s="1" t="s">
        <v>2192</v>
      </c>
      <c r="E334" s="1" t="s">
        <v>4677</v>
      </c>
      <c r="F334" s="1" t="s">
        <v>14</v>
      </c>
      <c r="G334" s="4" t="str">
        <f>"08312-1700"</f>
        <v>08312-1700</v>
      </c>
      <c r="H334" s="1">
        <v>134</v>
      </c>
      <c r="I334" s="1">
        <v>18.7</v>
      </c>
      <c r="J334" s="1">
        <v>0</v>
      </c>
      <c r="K334" s="1">
        <v>94</v>
      </c>
      <c r="L334" s="1" t="s">
        <v>701</v>
      </c>
      <c r="M334" s="1" t="s">
        <v>2194</v>
      </c>
      <c r="N334" s="1" t="s">
        <v>12</v>
      </c>
      <c r="O334" s="1" t="s">
        <v>2195</v>
      </c>
    </row>
    <row r="335" spans="1:15" x14ac:dyDescent="0.4">
      <c r="A335" s="1" t="s">
        <v>2144</v>
      </c>
      <c r="B335" s="1" t="s">
        <v>2136</v>
      </c>
      <c r="C335" s="1" t="s">
        <v>2148</v>
      </c>
      <c r="D335" s="1" t="s">
        <v>2138</v>
      </c>
      <c r="E335" s="1" t="s">
        <v>4681</v>
      </c>
      <c r="F335" s="1" t="s">
        <v>14</v>
      </c>
      <c r="G335" s="4" t="str">
        <f>"07050-2006"</f>
        <v>07050-2006</v>
      </c>
      <c r="H335" s="1">
        <v>29</v>
      </c>
      <c r="I335" s="1">
        <v>8</v>
      </c>
      <c r="J335" s="1">
        <v>0</v>
      </c>
      <c r="K335" s="1">
        <v>38</v>
      </c>
      <c r="L335" s="1" t="s">
        <v>2145</v>
      </c>
      <c r="M335" s="1" t="s">
        <v>2146</v>
      </c>
      <c r="N335" s="1" t="s">
        <v>12</v>
      </c>
      <c r="O335" s="1" t="s">
        <v>2147</v>
      </c>
    </row>
    <row r="336" spans="1:15" x14ac:dyDescent="0.4">
      <c r="A336" s="1" t="s">
        <v>2686</v>
      </c>
      <c r="B336" s="1" t="s">
        <v>2685</v>
      </c>
      <c r="C336" s="1" t="s">
        <v>2689</v>
      </c>
      <c r="D336" s="1" t="s">
        <v>2690</v>
      </c>
      <c r="E336" s="1" t="s">
        <v>4682</v>
      </c>
      <c r="F336" s="1" t="s">
        <v>14</v>
      </c>
      <c r="G336" s="4" t="str">
        <f>"08829-1503"</f>
        <v>08829-1503</v>
      </c>
      <c r="H336" s="1">
        <v>52</v>
      </c>
      <c r="I336" s="1">
        <v>23.7</v>
      </c>
      <c r="J336" s="1">
        <v>0</v>
      </c>
      <c r="K336" s="1">
        <v>32</v>
      </c>
      <c r="L336" s="1" t="s">
        <v>788</v>
      </c>
      <c r="M336" s="1" t="s">
        <v>2687</v>
      </c>
      <c r="N336" s="1" t="s">
        <v>12</v>
      </c>
      <c r="O336" s="1" t="s">
        <v>2688</v>
      </c>
    </row>
    <row r="337" spans="1:15" x14ac:dyDescent="0.4">
      <c r="A337" s="1" t="s">
        <v>478</v>
      </c>
      <c r="B337" s="1" t="s">
        <v>471</v>
      </c>
      <c r="C337" s="1" t="s">
        <v>481</v>
      </c>
      <c r="D337" s="1" t="s">
        <v>476</v>
      </c>
      <c r="E337" s="1" t="s">
        <v>4675</v>
      </c>
      <c r="F337" s="1" t="s">
        <v>14</v>
      </c>
      <c r="G337" s="4" t="str">
        <f>"07417-2914"</f>
        <v>07417-2914</v>
      </c>
      <c r="H337" s="1">
        <v>34</v>
      </c>
      <c r="I337" s="1">
        <v>11.3</v>
      </c>
      <c r="J337" s="1">
        <v>0</v>
      </c>
      <c r="K337" s="1">
        <v>45</v>
      </c>
      <c r="L337" s="1" t="s">
        <v>123</v>
      </c>
      <c r="M337" s="1" t="s">
        <v>479</v>
      </c>
      <c r="N337" s="1" t="s">
        <v>12</v>
      </c>
      <c r="O337" s="1" t="s">
        <v>480</v>
      </c>
    </row>
    <row r="338" spans="1:15" x14ac:dyDescent="0.4">
      <c r="A338" s="1" t="s">
        <v>612</v>
      </c>
      <c r="B338" s="1" t="s">
        <v>606</v>
      </c>
      <c r="C338" s="1" t="s">
        <v>615</v>
      </c>
      <c r="D338" s="1" t="s">
        <v>611</v>
      </c>
      <c r="E338" s="1" t="s">
        <v>4675</v>
      </c>
      <c r="F338" s="1" t="s">
        <v>14</v>
      </c>
      <c r="G338" s="4" t="str">
        <f>"07644"</f>
        <v>07644</v>
      </c>
      <c r="H338" s="1">
        <v>41</v>
      </c>
      <c r="I338" s="1">
        <v>12.2</v>
      </c>
      <c r="J338" s="1">
        <v>0</v>
      </c>
      <c r="K338" s="1">
        <v>49</v>
      </c>
      <c r="L338" s="1" t="s">
        <v>81</v>
      </c>
      <c r="M338" s="1" t="s">
        <v>613</v>
      </c>
      <c r="N338" s="1" t="s">
        <v>12</v>
      </c>
      <c r="O338" s="1" t="s">
        <v>614</v>
      </c>
    </row>
    <row r="339" spans="1:15" x14ac:dyDescent="0.4">
      <c r="A339" s="1" t="s">
        <v>612</v>
      </c>
      <c r="B339" s="1" t="s">
        <v>3520</v>
      </c>
      <c r="C339" s="1" t="s">
        <v>3523</v>
      </c>
      <c r="D339" s="1" t="s">
        <v>3524</v>
      </c>
      <c r="E339" s="1" t="s">
        <v>4675</v>
      </c>
      <c r="F339" s="1" t="s">
        <v>14</v>
      </c>
      <c r="G339" s="4" t="str">
        <f>"07945-1215"</f>
        <v>07945-1215</v>
      </c>
      <c r="H339" s="1">
        <v>41</v>
      </c>
      <c r="I339" s="1">
        <v>12.2</v>
      </c>
      <c r="J339" s="1">
        <v>0</v>
      </c>
      <c r="K339" s="1">
        <v>49</v>
      </c>
      <c r="L339" s="1" t="s">
        <v>335</v>
      </c>
      <c r="M339" s="1" t="s">
        <v>3521</v>
      </c>
      <c r="N339" s="1" t="s">
        <v>12</v>
      </c>
      <c r="O339" s="1" t="s">
        <v>3522</v>
      </c>
    </row>
    <row r="340" spans="1:15" x14ac:dyDescent="0.4">
      <c r="A340" s="1" t="s">
        <v>2692</v>
      </c>
      <c r="B340" s="1" t="s">
        <v>2691</v>
      </c>
      <c r="C340" s="1" t="s">
        <v>2695</v>
      </c>
      <c r="D340" s="1" t="s">
        <v>2696</v>
      </c>
      <c r="E340" s="1" t="s">
        <v>4682</v>
      </c>
      <c r="F340" s="1" t="s">
        <v>14</v>
      </c>
      <c r="G340" s="4" t="str">
        <f>"08848"</f>
        <v>08848</v>
      </c>
      <c r="H340" s="1">
        <v>67</v>
      </c>
      <c r="I340" s="1">
        <v>12.8</v>
      </c>
      <c r="J340" s="1">
        <v>0</v>
      </c>
      <c r="K340" s="1">
        <v>35</v>
      </c>
      <c r="L340" s="1" t="s">
        <v>247</v>
      </c>
      <c r="M340" s="1" t="s">
        <v>2693</v>
      </c>
      <c r="N340" s="1" t="s">
        <v>12</v>
      </c>
      <c r="O340" s="1" t="s">
        <v>2694</v>
      </c>
    </row>
    <row r="341" spans="1:15" x14ac:dyDescent="0.4">
      <c r="A341" s="1" t="s">
        <v>2262</v>
      </c>
      <c r="B341" s="1" t="s">
        <v>2261</v>
      </c>
      <c r="C341" s="1" t="s">
        <v>2265</v>
      </c>
      <c r="D341" s="1" t="s">
        <v>94</v>
      </c>
      <c r="E341" s="1" t="s">
        <v>4677</v>
      </c>
      <c r="F341" s="1" t="s">
        <v>14</v>
      </c>
      <c r="G341" s="4" t="str">
        <f>"08094-9102"</f>
        <v>08094-9102</v>
      </c>
      <c r="H341" s="1">
        <v>84</v>
      </c>
      <c r="I341" s="1">
        <v>14.7</v>
      </c>
      <c r="J341" s="1">
        <v>0</v>
      </c>
      <c r="K341" s="1">
        <v>82</v>
      </c>
      <c r="L341" s="1" t="s">
        <v>87</v>
      </c>
      <c r="M341" s="1" t="s">
        <v>2263</v>
      </c>
      <c r="N341" s="1" t="s">
        <v>12</v>
      </c>
      <c r="O341" s="1" t="s">
        <v>2264</v>
      </c>
    </row>
    <row r="342" spans="1:15" x14ac:dyDescent="0.4">
      <c r="A342" s="1" t="s">
        <v>1186</v>
      </c>
      <c r="B342" s="1" t="s">
        <v>1185</v>
      </c>
      <c r="C342" s="1" t="s">
        <v>1189</v>
      </c>
      <c r="D342" s="1" t="s">
        <v>981</v>
      </c>
      <c r="E342" s="1" t="s">
        <v>4676</v>
      </c>
      <c r="F342" s="1" t="s">
        <v>14</v>
      </c>
      <c r="G342" s="4" t="str">
        <f>"08060"</f>
        <v>08060</v>
      </c>
      <c r="H342" s="1">
        <v>75</v>
      </c>
      <c r="I342" s="1">
        <v>16.3</v>
      </c>
      <c r="J342" s="1">
        <v>0</v>
      </c>
      <c r="K342" s="1">
        <v>101</v>
      </c>
      <c r="L342" s="1" t="s">
        <v>40</v>
      </c>
      <c r="M342" s="1" t="s">
        <v>1187</v>
      </c>
      <c r="N342" s="1" t="s">
        <v>12</v>
      </c>
      <c r="O342" s="1" t="s">
        <v>1188</v>
      </c>
    </row>
    <row r="343" spans="1:15" x14ac:dyDescent="0.4">
      <c r="A343" s="1" t="s">
        <v>316</v>
      </c>
      <c r="B343" s="1" t="s">
        <v>308</v>
      </c>
      <c r="C343" s="1" t="s">
        <v>320</v>
      </c>
      <c r="D343" s="1" t="s">
        <v>309</v>
      </c>
      <c r="E343" s="1" t="s">
        <v>4675</v>
      </c>
      <c r="F343" s="1" t="s">
        <v>14</v>
      </c>
      <c r="G343" s="4" t="str">
        <f>"07621"</f>
        <v>07621</v>
      </c>
      <c r="H343" s="1">
        <v>29</v>
      </c>
      <c r="I343" s="1">
        <v>11.1</v>
      </c>
      <c r="J343" s="1">
        <v>0</v>
      </c>
      <c r="K343" s="1">
        <v>28</v>
      </c>
      <c r="L343" s="1" t="s">
        <v>317</v>
      </c>
      <c r="M343" s="1" t="s">
        <v>318</v>
      </c>
      <c r="N343" s="1" t="s">
        <v>12</v>
      </c>
      <c r="O343" s="1" t="s">
        <v>319</v>
      </c>
    </row>
    <row r="344" spans="1:15" x14ac:dyDescent="0.4">
      <c r="A344" s="1" t="s">
        <v>1719</v>
      </c>
      <c r="B344" s="1" t="s">
        <v>1718</v>
      </c>
      <c r="C344" s="1" t="s">
        <v>1723</v>
      </c>
      <c r="D344" s="1" t="s">
        <v>1683</v>
      </c>
      <c r="E344" s="1" t="s">
        <v>4680</v>
      </c>
      <c r="F344" s="1" t="s">
        <v>14</v>
      </c>
      <c r="G344" s="4" t="str">
        <f>"08302-8503"</f>
        <v>08302-8503</v>
      </c>
      <c r="H344" s="1">
        <v>75</v>
      </c>
      <c r="I344" s="1">
        <v>14.3</v>
      </c>
      <c r="J344" s="1">
        <v>0</v>
      </c>
      <c r="K344" s="1">
        <v>47</v>
      </c>
      <c r="L344" s="1" t="s">
        <v>1720</v>
      </c>
      <c r="M344" s="1" t="s">
        <v>1721</v>
      </c>
      <c r="N344" s="1" t="s">
        <v>12</v>
      </c>
      <c r="O344" s="1" t="s">
        <v>1722</v>
      </c>
    </row>
    <row r="345" spans="1:15" x14ac:dyDescent="0.4">
      <c r="A345" s="1" t="s">
        <v>2776</v>
      </c>
      <c r="B345" s="1" t="s">
        <v>2771</v>
      </c>
      <c r="C345" s="1" t="s">
        <v>2779</v>
      </c>
      <c r="D345" s="1" t="s">
        <v>2780</v>
      </c>
      <c r="E345" s="1" t="s">
        <v>4683</v>
      </c>
      <c r="F345" s="1" t="s">
        <v>14</v>
      </c>
      <c r="G345" s="4" t="str">
        <f>"08525"</f>
        <v>08525</v>
      </c>
      <c r="H345" s="1">
        <v>6</v>
      </c>
      <c r="I345" s="1">
        <v>1.5</v>
      </c>
      <c r="J345" s="1">
        <v>0</v>
      </c>
      <c r="K345" s="1">
        <v>60</v>
      </c>
      <c r="L345" s="1" t="s">
        <v>175</v>
      </c>
      <c r="M345" s="1" t="s">
        <v>2777</v>
      </c>
      <c r="N345" s="1" t="s">
        <v>12</v>
      </c>
      <c r="O345" s="1" t="s">
        <v>2778</v>
      </c>
    </row>
    <row r="346" spans="1:15" x14ac:dyDescent="0.4">
      <c r="A346" s="1" t="s">
        <v>2356</v>
      </c>
      <c r="B346" s="1" t="s">
        <v>2350</v>
      </c>
      <c r="C346" s="1" t="s">
        <v>2359</v>
      </c>
      <c r="D346" s="1" t="s">
        <v>2351</v>
      </c>
      <c r="E346" s="1" t="s">
        <v>2239</v>
      </c>
      <c r="F346" s="1" t="s">
        <v>14</v>
      </c>
      <c r="G346" s="4" t="str">
        <f>"07002"</f>
        <v>07002</v>
      </c>
      <c r="H346" s="1">
        <v>68</v>
      </c>
      <c r="I346" s="1">
        <v>9.6</v>
      </c>
      <c r="J346" s="1">
        <v>0</v>
      </c>
      <c r="K346" s="1">
        <v>72</v>
      </c>
      <c r="L346" s="1" t="s">
        <v>988</v>
      </c>
      <c r="M346" s="1" t="s">
        <v>2357</v>
      </c>
      <c r="N346" s="1" t="s">
        <v>12</v>
      </c>
      <c r="O346" s="1" t="s">
        <v>2358</v>
      </c>
    </row>
    <row r="347" spans="1:15" x14ac:dyDescent="0.4">
      <c r="A347" s="1" t="s">
        <v>1786</v>
      </c>
      <c r="B347" s="1" t="s">
        <v>1763</v>
      </c>
      <c r="C347" s="1" t="s">
        <v>1789</v>
      </c>
      <c r="D347" s="1" t="s">
        <v>1790</v>
      </c>
      <c r="E347" s="1" t="s">
        <v>4681</v>
      </c>
      <c r="F347" s="1" t="s">
        <v>14</v>
      </c>
      <c r="G347" s="4" t="str">
        <f>"07109"</f>
        <v>07109</v>
      </c>
      <c r="H347" s="1">
        <v>245</v>
      </c>
      <c r="I347" s="1">
        <v>100</v>
      </c>
      <c r="J347" s="1">
        <v>0</v>
      </c>
      <c r="K347" s="1">
        <v>0</v>
      </c>
      <c r="L347" s="1" t="s">
        <v>1053</v>
      </c>
      <c r="M347" s="1" t="s">
        <v>1787</v>
      </c>
      <c r="N347" s="1" t="s">
        <v>12</v>
      </c>
      <c r="O347" s="1" t="s">
        <v>1788</v>
      </c>
    </row>
    <row r="348" spans="1:15" x14ac:dyDescent="0.4">
      <c r="A348" s="1" t="s">
        <v>3710</v>
      </c>
      <c r="B348" s="1" t="s">
        <v>3700</v>
      </c>
      <c r="C348" s="1" t="s">
        <v>3713</v>
      </c>
      <c r="D348" s="1" t="s">
        <v>939</v>
      </c>
      <c r="E348" s="1" t="s">
        <v>4685</v>
      </c>
      <c r="F348" s="1" t="s">
        <v>14</v>
      </c>
      <c r="G348" s="4" t="str">
        <f>"08527-3497"</f>
        <v>08527-3497</v>
      </c>
      <c r="H348" s="1">
        <v>87</v>
      </c>
      <c r="I348" s="1">
        <v>20.9</v>
      </c>
      <c r="J348" s="1">
        <v>0</v>
      </c>
      <c r="K348" s="1">
        <v>47</v>
      </c>
      <c r="L348" s="1" t="s">
        <v>1192</v>
      </c>
      <c r="M348" s="1" t="s">
        <v>3711</v>
      </c>
      <c r="N348" s="1" t="s">
        <v>12</v>
      </c>
      <c r="O348" s="1" t="s">
        <v>3712</v>
      </c>
    </row>
    <row r="349" spans="1:15" x14ac:dyDescent="0.4">
      <c r="A349" s="1" t="s">
        <v>1072</v>
      </c>
      <c r="B349" s="1" t="s">
        <v>1071</v>
      </c>
      <c r="C349" s="1" t="s">
        <v>1076</v>
      </c>
      <c r="D349" s="1" t="s">
        <v>1077</v>
      </c>
      <c r="E349" s="1" t="s">
        <v>4676</v>
      </c>
      <c r="F349" s="1" t="s">
        <v>14</v>
      </c>
      <c r="G349" s="4" t="str">
        <f>"08052"</f>
        <v>08052</v>
      </c>
      <c r="H349" s="1">
        <v>166</v>
      </c>
      <c r="I349" s="1">
        <v>32.700000000000003</v>
      </c>
      <c r="J349" s="1">
        <v>0</v>
      </c>
      <c r="K349" s="1">
        <v>173</v>
      </c>
      <c r="L349" s="1" t="s">
        <v>1073</v>
      </c>
      <c r="M349" s="1" t="s">
        <v>1074</v>
      </c>
      <c r="N349" s="1" t="s">
        <v>12</v>
      </c>
      <c r="O349" s="1" t="s">
        <v>1075</v>
      </c>
    </row>
    <row r="350" spans="1:15" x14ac:dyDescent="0.4">
      <c r="A350" s="1" t="s">
        <v>2563</v>
      </c>
      <c r="B350" s="1" t="s">
        <v>2553</v>
      </c>
      <c r="C350" s="1" t="s">
        <v>2565</v>
      </c>
      <c r="D350" s="1" t="s">
        <v>2554</v>
      </c>
      <c r="E350" s="1" t="s">
        <v>2239</v>
      </c>
      <c r="F350" s="1" t="s">
        <v>14</v>
      </c>
      <c r="G350" s="4" t="str">
        <f>"07087-5459"</f>
        <v>07087-5459</v>
      </c>
      <c r="H350" s="1">
        <v>63</v>
      </c>
      <c r="I350" s="1">
        <v>19.7</v>
      </c>
      <c r="J350" s="1">
        <v>0</v>
      </c>
      <c r="K350" s="1">
        <v>67</v>
      </c>
      <c r="L350" s="1" t="s">
        <v>146</v>
      </c>
      <c r="M350" s="1" t="s">
        <v>2492</v>
      </c>
      <c r="N350" s="1" t="s">
        <v>244</v>
      </c>
      <c r="O350" s="1" t="s">
        <v>2564</v>
      </c>
    </row>
    <row r="351" spans="1:15" x14ac:dyDescent="0.4">
      <c r="A351" s="1" t="s">
        <v>3813</v>
      </c>
      <c r="B351" s="1" t="s">
        <v>3812</v>
      </c>
      <c r="C351" s="1" t="s">
        <v>3816</v>
      </c>
      <c r="D351" s="1" t="s">
        <v>3817</v>
      </c>
      <c r="E351" s="1" t="s">
        <v>4685</v>
      </c>
      <c r="F351" s="1" t="s">
        <v>14</v>
      </c>
      <c r="G351" s="4" t="str">
        <f>"08751"</f>
        <v>08751</v>
      </c>
      <c r="H351" s="1">
        <v>25</v>
      </c>
      <c r="I351" s="1">
        <v>15.9</v>
      </c>
      <c r="J351" s="1">
        <v>0</v>
      </c>
      <c r="K351" s="1">
        <v>25</v>
      </c>
      <c r="L351" s="1" t="s">
        <v>335</v>
      </c>
      <c r="M351" s="1" t="s">
        <v>3814</v>
      </c>
      <c r="N351" s="1" t="s">
        <v>12</v>
      </c>
      <c r="O351" s="1" t="s">
        <v>3815</v>
      </c>
    </row>
    <row r="352" spans="1:15" x14ac:dyDescent="0.4">
      <c r="A352" s="1" t="s">
        <v>3044</v>
      </c>
      <c r="B352" s="1" t="s">
        <v>3038</v>
      </c>
      <c r="C352" s="1" t="s">
        <v>3047</v>
      </c>
      <c r="D352" s="1" t="s">
        <v>2964</v>
      </c>
      <c r="E352" s="1" t="s">
        <v>2962</v>
      </c>
      <c r="F352" s="1" t="s">
        <v>14</v>
      </c>
      <c r="G352" s="4" t="str">
        <f>"08861"</f>
        <v>08861</v>
      </c>
      <c r="H352" s="1">
        <v>577</v>
      </c>
      <c r="I352" s="1">
        <v>100</v>
      </c>
      <c r="J352" s="1">
        <v>0</v>
      </c>
      <c r="K352" s="1">
        <v>0</v>
      </c>
      <c r="L352" s="1" t="s">
        <v>1676</v>
      </c>
      <c r="M352" s="1" t="s">
        <v>3045</v>
      </c>
      <c r="N352" s="1" t="s">
        <v>12</v>
      </c>
      <c r="O352" s="1" t="s">
        <v>3046</v>
      </c>
    </row>
    <row r="353" spans="1:15" x14ac:dyDescent="0.4">
      <c r="A353" s="1" t="s">
        <v>4174</v>
      </c>
      <c r="B353" s="1" t="s">
        <v>4172</v>
      </c>
      <c r="C353" s="1" t="s">
        <v>4178</v>
      </c>
      <c r="D353" s="1" t="s">
        <v>4173</v>
      </c>
      <c r="E353" s="1" t="s">
        <v>1597</v>
      </c>
      <c r="F353" s="1" t="s">
        <v>14</v>
      </c>
      <c r="G353" s="4" t="str">
        <f>"08812-2505"</f>
        <v>08812-2505</v>
      </c>
      <c r="H353" s="1">
        <v>44</v>
      </c>
      <c r="I353" s="1">
        <v>10.9</v>
      </c>
      <c r="J353" s="1">
        <v>0</v>
      </c>
      <c r="K353" s="1">
        <v>61</v>
      </c>
      <c r="L353" s="1" t="s">
        <v>4175</v>
      </c>
      <c r="M353" s="1" t="s">
        <v>4176</v>
      </c>
      <c r="N353" s="1" t="s">
        <v>12</v>
      </c>
      <c r="O353" s="1" t="s">
        <v>4177</v>
      </c>
    </row>
    <row r="354" spans="1:15" x14ac:dyDescent="0.4">
      <c r="A354" s="1" t="s">
        <v>2940</v>
      </c>
      <c r="B354" s="1" t="s">
        <v>2938</v>
      </c>
      <c r="C354" s="1" t="s">
        <v>2944</v>
      </c>
      <c r="D354" s="1" t="s">
        <v>2939</v>
      </c>
      <c r="E354" s="1" t="s">
        <v>2962</v>
      </c>
      <c r="F354" s="1" t="s">
        <v>14</v>
      </c>
      <c r="G354" s="4" t="str">
        <f>"08904"</f>
        <v>08904</v>
      </c>
      <c r="H354" s="1">
        <v>106</v>
      </c>
      <c r="I354" s="1">
        <v>32.5</v>
      </c>
      <c r="J354" s="1">
        <v>0</v>
      </c>
      <c r="K354" s="1">
        <v>96</v>
      </c>
      <c r="L354" s="1" t="s">
        <v>2941</v>
      </c>
      <c r="M354" s="1" t="s">
        <v>2942</v>
      </c>
      <c r="N354" s="1" t="s">
        <v>12</v>
      </c>
      <c r="O354" s="1" t="s">
        <v>2943</v>
      </c>
    </row>
    <row r="355" spans="1:15" x14ac:dyDescent="0.4">
      <c r="A355" s="1" t="s">
        <v>2896</v>
      </c>
      <c r="B355" s="1" t="s">
        <v>2883</v>
      </c>
      <c r="C355" s="1" t="s">
        <v>2899</v>
      </c>
      <c r="D355" s="1" t="s">
        <v>2888</v>
      </c>
      <c r="E355" s="1" t="s">
        <v>2962</v>
      </c>
      <c r="F355" s="1" t="s">
        <v>14</v>
      </c>
      <c r="G355" s="4" t="str">
        <f>"08816"</f>
        <v>08816</v>
      </c>
      <c r="H355" s="1">
        <v>7</v>
      </c>
      <c r="I355" s="1">
        <v>2.2999999999999998</v>
      </c>
      <c r="J355" s="1">
        <v>0</v>
      </c>
      <c r="K355" s="1">
        <v>50</v>
      </c>
      <c r="L355" s="1" t="s">
        <v>1739</v>
      </c>
      <c r="M355" s="1" t="s">
        <v>2897</v>
      </c>
      <c r="N355" s="1" t="s">
        <v>12</v>
      </c>
      <c r="O355" s="1" t="s">
        <v>2898</v>
      </c>
    </row>
    <row r="356" spans="1:15" x14ac:dyDescent="0.4">
      <c r="A356" s="1" t="s">
        <v>3695</v>
      </c>
      <c r="B356" s="1" t="s">
        <v>3694</v>
      </c>
      <c r="C356" s="1" t="s">
        <v>3698</v>
      </c>
      <c r="D356" s="1" t="s">
        <v>3699</v>
      </c>
      <c r="E356" s="1" t="s">
        <v>4685</v>
      </c>
      <c r="F356" s="1" t="s">
        <v>14</v>
      </c>
      <c r="G356" s="4" t="str">
        <f>"08732-0329"</f>
        <v>08732-0329</v>
      </c>
      <c r="H356" s="1">
        <v>24</v>
      </c>
      <c r="I356" s="1">
        <v>16.899999999999999</v>
      </c>
      <c r="J356" s="1">
        <v>0</v>
      </c>
      <c r="K356" s="1">
        <v>17</v>
      </c>
      <c r="L356" s="1" t="s">
        <v>165</v>
      </c>
      <c r="M356" s="1" t="s">
        <v>3696</v>
      </c>
      <c r="N356" s="1" t="s">
        <v>12</v>
      </c>
      <c r="O356" s="1" t="s">
        <v>3697</v>
      </c>
    </row>
    <row r="357" spans="1:15" x14ac:dyDescent="0.4">
      <c r="A357" s="1" t="s">
        <v>2029</v>
      </c>
      <c r="B357" s="1" t="s">
        <v>1952</v>
      </c>
      <c r="C357" s="1" t="s">
        <v>2033</v>
      </c>
      <c r="D357" s="1" t="s">
        <v>1610</v>
      </c>
      <c r="E357" s="1" t="s">
        <v>4681</v>
      </c>
      <c r="F357" s="1" t="s">
        <v>14</v>
      </c>
      <c r="G357" s="4" t="str">
        <f>"07106"</f>
        <v>07106</v>
      </c>
      <c r="H357" s="1">
        <v>38</v>
      </c>
      <c r="I357" s="1">
        <v>7.8</v>
      </c>
      <c r="J357" s="1">
        <v>0</v>
      </c>
      <c r="K357" s="1">
        <v>50</v>
      </c>
      <c r="L357" s="1" t="s">
        <v>2030</v>
      </c>
      <c r="M357" s="1" t="s">
        <v>2031</v>
      </c>
      <c r="N357" s="1" t="s">
        <v>12</v>
      </c>
      <c r="O357" s="1" t="s">
        <v>2032</v>
      </c>
    </row>
    <row r="358" spans="1:15" x14ac:dyDescent="0.4">
      <c r="A358" s="1" t="s">
        <v>1857</v>
      </c>
      <c r="B358" s="1" t="s">
        <v>1826</v>
      </c>
      <c r="C358" s="1" t="s">
        <v>1860</v>
      </c>
      <c r="D358" s="1" t="s">
        <v>1612</v>
      </c>
      <c r="E358" s="1" t="s">
        <v>4681</v>
      </c>
      <c r="F358" s="1" t="s">
        <v>14</v>
      </c>
      <c r="G358" s="4" t="str">
        <f>"07017-2203"</f>
        <v>07017-2203</v>
      </c>
      <c r="H358" s="1">
        <v>15</v>
      </c>
      <c r="I358" s="1">
        <v>6.1</v>
      </c>
      <c r="J358" s="1">
        <v>0</v>
      </c>
      <c r="K358" s="1">
        <v>24</v>
      </c>
      <c r="L358" s="1" t="s">
        <v>1858</v>
      </c>
      <c r="M358" s="1" t="s">
        <v>301</v>
      </c>
      <c r="N358" s="1" t="s">
        <v>12</v>
      </c>
      <c r="O358" s="1" t="s">
        <v>1859</v>
      </c>
    </row>
    <row r="359" spans="1:15" x14ac:dyDescent="0.4">
      <c r="A359" s="1" t="s">
        <v>2223</v>
      </c>
      <c r="B359" s="1" t="s">
        <v>2220</v>
      </c>
      <c r="C359" s="1" t="s">
        <v>2226</v>
      </c>
      <c r="D359" s="1" t="s">
        <v>2221</v>
      </c>
      <c r="E359" s="1" t="s">
        <v>4677</v>
      </c>
      <c r="F359" s="1" t="s">
        <v>14</v>
      </c>
      <c r="G359" s="4" t="str">
        <f>"08028"</f>
        <v>08028</v>
      </c>
      <c r="H359" s="1">
        <v>127</v>
      </c>
      <c r="I359" s="1">
        <v>46.4</v>
      </c>
      <c r="J359" s="1">
        <v>0</v>
      </c>
      <c r="K359" s="1">
        <v>147</v>
      </c>
      <c r="L359" s="1" t="s">
        <v>180</v>
      </c>
      <c r="M359" s="1" t="s">
        <v>2224</v>
      </c>
      <c r="N359" s="1" t="s">
        <v>12</v>
      </c>
      <c r="O359" s="1" t="s">
        <v>2225</v>
      </c>
    </row>
    <row r="360" spans="1:15" x14ac:dyDescent="0.4">
      <c r="A360" s="1" t="s">
        <v>2254</v>
      </c>
      <c r="B360" s="1" t="s">
        <v>2252</v>
      </c>
      <c r="C360" s="1" t="s">
        <v>2256</v>
      </c>
      <c r="D360" s="1" t="s">
        <v>2253</v>
      </c>
      <c r="E360" s="1" t="s">
        <v>4677</v>
      </c>
      <c r="F360" s="1" t="s">
        <v>14</v>
      </c>
      <c r="G360" s="4" t="str">
        <f>"08051"</f>
        <v>08051</v>
      </c>
      <c r="H360" s="1">
        <v>79</v>
      </c>
      <c r="I360" s="1">
        <v>14.2</v>
      </c>
      <c r="J360" s="1">
        <v>0</v>
      </c>
      <c r="K360" s="1">
        <v>0</v>
      </c>
      <c r="L360" s="1" t="s">
        <v>366</v>
      </c>
      <c r="M360" s="1" t="s">
        <v>387</v>
      </c>
      <c r="N360" s="1" t="s">
        <v>12</v>
      </c>
      <c r="O360" s="1" t="s">
        <v>2255</v>
      </c>
    </row>
    <row r="361" spans="1:15" x14ac:dyDescent="0.4">
      <c r="A361" s="1" t="s">
        <v>1197</v>
      </c>
      <c r="B361" s="1" t="s">
        <v>1190</v>
      </c>
      <c r="C361" s="1" t="s">
        <v>1200</v>
      </c>
      <c r="D361" s="1" t="s">
        <v>1196</v>
      </c>
      <c r="E361" s="1" t="s">
        <v>4676</v>
      </c>
      <c r="F361" s="1" t="s">
        <v>14</v>
      </c>
      <c r="G361" s="4" t="str">
        <f>"08046"</f>
        <v>08046</v>
      </c>
      <c r="H361" s="1">
        <v>214</v>
      </c>
      <c r="I361" s="1">
        <v>58.6</v>
      </c>
      <c r="J361" s="1">
        <v>0</v>
      </c>
      <c r="K361" s="1">
        <v>151</v>
      </c>
      <c r="L361" s="1" t="s">
        <v>199</v>
      </c>
      <c r="M361" s="1" t="s">
        <v>1198</v>
      </c>
      <c r="N361" s="1" t="s">
        <v>12</v>
      </c>
      <c r="O361" s="1" t="s">
        <v>1199</v>
      </c>
    </row>
    <row r="362" spans="1:15" x14ac:dyDescent="0.4">
      <c r="A362" s="1" t="s">
        <v>551</v>
      </c>
      <c r="B362" s="1" t="s">
        <v>536</v>
      </c>
      <c r="C362" s="1" t="s">
        <v>554</v>
      </c>
      <c r="D362" s="1" t="s">
        <v>542</v>
      </c>
      <c r="E362" s="1" t="s">
        <v>4675</v>
      </c>
      <c r="F362" s="1" t="s">
        <v>14</v>
      </c>
      <c r="G362" s="4" t="str">
        <f>"07601"</f>
        <v>07601</v>
      </c>
      <c r="H362" s="1">
        <v>85</v>
      </c>
      <c r="I362" s="1">
        <v>19.399999999999999</v>
      </c>
      <c r="J362" s="1">
        <v>0</v>
      </c>
      <c r="K362" s="1">
        <v>71</v>
      </c>
      <c r="L362" s="1" t="s">
        <v>335</v>
      </c>
      <c r="M362" s="1" t="s">
        <v>552</v>
      </c>
      <c r="N362" s="1" t="s">
        <v>12</v>
      </c>
      <c r="O362" s="1" t="s">
        <v>553</v>
      </c>
    </row>
    <row r="363" spans="1:15" x14ac:dyDescent="0.4">
      <c r="A363" s="1" t="s">
        <v>3714</v>
      </c>
      <c r="B363" s="1" t="s">
        <v>3700</v>
      </c>
      <c r="C363" s="1" t="s">
        <v>3717</v>
      </c>
      <c r="D363" s="1" t="s">
        <v>939</v>
      </c>
      <c r="E363" s="1" t="s">
        <v>4685</v>
      </c>
      <c r="F363" s="1" t="s">
        <v>14</v>
      </c>
      <c r="G363" s="4" t="str">
        <f>"08527-3497"</f>
        <v>08527-3497</v>
      </c>
      <c r="H363" s="1">
        <v>116</v>
      </c>
      <c r="I363" s="1">
        <v>7.6</v>
      </c>
      <c r="J363" s="1">
        <v>0</v>
      </c>
      <c r="K363" s="1">
        <v>0</v>
      </c>
      <c r="L363" s="1" t="s">
        <v>10</v>
      </c>
      <c r="M363" s="1" t="s">
        <v>3715</v>
      </c>
      <c r="N363" s="1" t="s">
        <v>12</v>
      </c>
      <c r="O363" s="1" t="s">
        <v>3716</v>
      </c>
    </row>
    <row r="364" spans="1:15" x14ac:dyDescent="0.4">
      <c r="A364" s="1" t="s">
        <v>4544</v>
      </c>
      <c r="B364" s="1" t="s">
        <v>4537</v>
      </c>
      <c r="C364" s="1" t="s">
        <v>4547</v>
      </c>
      <c r="D364" s="1" t="s">
        <v>4541</v>
      </c>
      <c r="E364" s="1" t="s">
        <v>4594</v>
      </c>
      <c r="F364" s="1" t="s">
        <v>14</v>
      </c>
      <c r="G364" s="4" t="str">
        <f>"07081"</f>
        <v>07081</v>
      </c>
      <c r="H364" s="1">
        <v>29</v>
      </c>
      <c r="I364" s="1">
        <v>10.5</v>
      </c>
      <c r="J364" s="1">
        <v>0</v>
      </c>
      <c r="K364" s="1">
        <v>43</v>
      </c>
      <c r="L364" s="1" t="s">
        <v>132</v>
      </c>
      <c r="M364" s="1" t="s">
        <v>4545</v>
      </c>
      <c r="N364" s="1" t="s">
        <v>12</v>
      </c>
      <c r="O364" s="1" t="s">
        <v>4546</v>
      </c>
    </row>
    <row r="365" spans="1:15" x14ac:dyDescent="0.4">
      <c r="A365" s="1" t="s">
        <v>514</v>
      </c>
      <c r="B365" s="1" t="s">
        <v>488</v>
      </c>
      <c r="C365" s="1" t="s">
        <v>517</v>
      </c>
      <c r="D365" s="1" t="s">
        <v>494</v>
      </c>
      <c r="E365" s="1" t="s">
        <v>4675</v>
      </c>
      <c r="F365" s="1" t="s">
        <v>14</v>
      </c>
      <c r="G365" s="4" t="str">
        <f>"07026"</f>
        <v>07026</v>
      </c>
      <c r="H365" s="1">
        <v>15</v>
      </c>
      <c r="I365" s="1">
        <v>5.3</v>
      </c>
      <c r="J365" s="1">
        <v>0</v>
      </c>
      <c r="K365" s="1">
        <v>37</v>
      </c>
      <c r="L365" s="1" t="s">
        <v>40</v>
      </c>
      <c r="M365" s="1" t="s">
        <v>515</v>
      </c>
      <c r="N365" s="1" t="s">
        <v>12</v>
      </c>
      <c r="O365" s="1" t="s">
        <v>516</v>
      </c>
    </row>
    <row r="366" spans="1:15" x14ac:dyDescent="0.4">
      <c r="A366" s="1" t="s">
        <v>1373</v>
      </c>
      <c r="B366" s="1" t="s">
        <v>1348</v>
      </c>
      <c r="C366" s="1" t="s">
        <v>1376</v>
      </c>
      <c r="D366" s="1" t="s">
        <v>1246</v>
      </c>
      <c r="E366" s="1" t="s">
        <v>1271</v>
      </c>
      <c r="F366" s="1" t="s">
        <v>14</v>
      </c>
      <c r="G366" s="4" t="str">
        <f>"08081"</f>
        <v>08081</v>
      </c>
      <c r="H366" s="1">
        <v>1</v>
      </c>
      <c r="I366" s="1">
        <v>0.2</v>
      </c>
      <c r="J366" s="1">
        <v>0</v>
      </c>
      <c r="K366" s="1">
        <v>98</v>
      </c>
      <c r="L366" s="1" t="s">
        <v>535</v>
      </c>
      <c r="M366" s="1" t="s">
        <v>1374</v>
      </c>
      <c r="N366" s="1" t="s">
        <v>12</v>
      </c>
      <c r="O366" s="1" t="s">
        <v>1375</v>
      </c>
    </row>
    <row r="367" spans="1:15" x14ac:dyDescent="0.4">
      <c r="A367" s="1" t="s">
        <v>914</v>
      </c>
      <c r="B367" s="1" t="s">
        <v>911</v>
      </c>
      <c r="C367" s="1" t="s">
        <v>917</v>
      </c>
      <c r="D367" s="1" t="s">
        <v>913</v>
      </c>
      <c r="E367" s="1" t="s">
        <v>4675</v>
      </c>
      <c r="F367" s="1" t="s">
        <v>14</v>
      </c>
      <c r="G367" s="4" t="str">
        <f>"07057"</f>
        <v>07057</v>
      </c>
      <c r="H367" s="1">
        <v>3</v>
      </c>
      <c r="I367" s="1">
        <v>1.2</v>
      </c>
      <c r="J367" s="1">
        <v>0</v>
      </c>
      <c r="K367" s="1">
        <v>79</v>
      </c>
      <c r="L367" s="1" t="s">
        <v>176</v>
      </c>
      <c r="M367" s="1" t="s">
        <v>915</v>
      </c>
      <c r="N367" s="1" t="s">
        <v>12</v>
      </c>
      <c r="O367" s="1" t="s">
        <v>916</v>
      </c>
    </row>
    <row r="368" spans="1:15" x14ac:dyDescent="0.4">
      <c r="A368" s="1" t="s">
        <v>2207</v>
      </c>
      <c r="B368" s="1" t="s">
        <v>2206</v>
      </c>
      <c r="C368" s="1" t="s">
        <v>2210</v>
      </c>
      <c r="D368" s="1" t="s">
        <v>2211</v>
      </c>
      <c r="E368" s="1" t="s">
        <v>4677</v>
      </c>
      <c r="F368" s="1" t="s">
        <v>14</v>
      </c>
      <c r="G368" s="4" t="str">
        <f>"08056"</f>
        <v>08056</v>
      </c>
      <c r="H368" s="1">
        <v>2</v>
      </c>
      <c r="I368" s="1">
        <v>0.4</v>
      </c>
      <c r="J368" s="1">
        <v>0</v>
      </c>
      <c r="K368" s="1">
        <v>143</v>
      </c>
      <c r="L368" s="1" t="s">
        <v>15</v>
      </c>
      <c r="M368" s="1" t="s">
        <v>2208</v>
      </c>
      <c r="N368" s="1" t="s">
        <v>12</v>
      </c>
      <c r="O368" s="1" t="s">
        <v>2209</v>
      </c>
    </row>
    <row r="369" spans="1:15" x14ac:dyDescent="0.4">
      <c r="A369" s="1" t="s">
        <v>1626</v>
      </c>
      <c r="B369" s="1" t="s">
        <v>1626</v>
      </c>
      <c r="C369" s="1" t="s">
        <v>1630</v>
      </c>
      <c r="D369" s="1" t="s">
        <v>1624</v>
      </c>
      <c r="E369" s="1" t="s">
        <v>4679</v>
      </c>
      <c r="F369" s="1" t="s">
        <v>14</v>
      </c>
      <c r="G369" s="4" t="str">
        <f>"07306"</f>
        <v>07306</v>
      </c>
      <c r="H369" s="1">
        <v>44</v>
      </c>
      <c r="I369" s="1">
        <v>6.6</v>
      </c>
      <c r="J369" s="1">
        <v>0</v>
      </c>
      <c r="K369" s="1">
        <v>73</v>
      </c>
      <c r="L369" s="1" t="s">
        <v>1627</v>
      </c>
      <c r="M369" s="1" t="s">
        <v>1628</v>
      </c>
      <c r="N369" s="1" t="s">
        <v>12</v>
      </c>
      <c r="O369" s="1" t="s">
        <v>1629</v>
      </c>
    </row>
    <row r="370" spans="1:15" x14ac:dyDescent="0.4">
      <c r="A370" s="1" t="s">
        <v>3011</v>
      </c>
      <c r="B370" s="1" t="s">
        <v>3006</v>
      </c>
      <c r="C370" s="1" t="s">
        <v>3014</v>
      </c>
      <c r="D370" s="1" t="s">
        <v>3010</v>
      </c>
      <c r="E370" s="1" t="s">
        <v>2962</v>
      </c>
      <c r="F370" s="1" t="s">
        <v>14</v>
      </c>
      <c r="G370" s="4" t="str">
        <f>"08902"</f>
        <v>08902</v>
      </c>
      <c r="H370" s="1">
        <v>66</v>
      </c>
      <c r="I370" s="1">
        <v>11.8</v>
      </c>
      <c r="J370" s="1">
        <v>0</v>
      </c>
      <c r="K370" s="1">
        <v>111</v>
      </c>
      <c r="L370" s="1" t="s">
        <v>483</v>
      </c>
      <c r="M370" s="1" t="s">
        <v>3012</v>
      </c>
      <c r="N370" s="1" t="s">
        <v>12</v>
      </c>
      <c r="O370" s="1" t="s">
        <v>3013</v>
      </c>
    </row>
    <row r="371" spans="1:15" x14ac:dyDescent="0.4">
      <c r="A371" s="1" t="s">
        <v>1115</v>
      </c>
      <c r="B371" s="1" t="s">
        <v>1113</v>
      </c>
      <c r="C371" s="1" t="s">
        <v>1118</v>
      </c>
      <c r="D371" s="1" t="s">
        <v>1114</v>
      </c>
      <c r="E371" s="1" t="s">
        <v>4676</v>
      </c>
      <c r="F371" s="1" t="s">
        <v>14</v>
      </c>
      <c r="G371" s="4" t="str">
        <f>"08060"</f>
        <v>08060</v>
      </c>
      <c r="H371" s="1">
        <v>98</v>
      </c>
      <c r="I371" s="1">
        <v>32.200000000000003</v>
      </c>
      <c r="J371" s="1">
        <v>0</v>
      </c>
      <c r="K371" s="1">
        <v>97</v>
      </c>
      <c r="L371" s="1" t="s">
        <v>58</v>
      </c>
      <c r="M371" s="1" t="s">
        <v>1116</v>
      </c>
      <c r="N371" s="1" t="s">
        <v>12</v>
      </c>
      <c r="O371" s="1" t="s">
        <v>1117</v>
      </c>
    </row>
    <row r="372" spans="1:15" x14ac:dyDescent="0.4">
      <c r="A372" s="1" t="s">
        <v>96</v>
      </c>
      <c r="B372" s="1" t="s">
        <v>86</v>
      </c>
      <c r="C372" s="1" t="s">
        <v>100</v>
      </c>
      <c r="D372" s="1" t="s">
        <v>88</v>
      </c>
      <c r="E372" s="1" t="s">
        <v>4674</v>
      </c>
      <c r="F372" s="1" t="s">
        <v>14</v>
      </c>
      <c r="G372" s="4" t="str">
        <f>"08310-9701"</f>
        <v>08310-9701</v>
      </c>
      <c r="H372" s="1">
        <v>64</v>
      </c>
      <c r="I372" s="1">
        <v>33.299999999999997</v>
      </c>
      <c r="J372" s="1">
        <v>0</v>
      </c>
      <c r="K372" s="1">
        <v>42</v>
      </c>
      <c r="L372" s="1" t="s">
        <v>97</v>
      </c>
      <c r="M372" s="1" t="s">
        <v>98</v>
      </c>
      <c r="N372" s="1" t="s">
        <v>12</v>
      </c>
      <c r="O372" s="1" t="s">
        <v>99</v>
      </c>
    </row>
    <row r="373" spans="1:15" x14ac:dyDescent="0.4">
      <c r="A373" s="1" t="s">
        <v>1241</v>
      </c>
      <c r="B373" s="1" t="s">
        <v>1239</v>
      </c>
      <c r="C373" s="1" t="s">
        <v>1244</v>
      </c>
      <c r="D373" s="1" t="s">
        <v>1240</v>
      </c>
      <c r="E373" s="1" t="s">
        <v>1271</v>
      </c>
      <c r="F373" s="1" t="s">
        <v>14</v>
      </c>
      <c r="G373" s="4" t="str">
        <f>"08091"</f>
        <v>08091</v>
      </c>
      <c r="H373" s="1">
        <v>53</v>
      </c>
      <c r="I373" s="1">
        <v>14.9</v>
      </c>
      <c r="J373" s="1">
        <v>0</v>
      </c>
      <c r="K373" s="1">
        <v>59</v>
      </c>
      <c r="L373" s="1" t="s">
        <v>199</v>
      </c>
      <c r="M373" s="1" t="s">
        <v>1242</v>
      </c>
      <c r="N373" s="1" t="s">
        <v>12</v>
      </c>
      <c r="O373" s="1" t="s">
        <v>1243</v>
      </c>
    </row>
    <row r="374" spans="1:15" x14ac:dyDescent="0.4">
      <c r="A374" s="1" t="s">
        <v>1241</v>
      </c>
      <c r="B374" s="1" t="s">
        <v>2536</v>
      </c>
      <c r="C374" s="1" t="s">
        <v>2545</v>
      </c>
      <c r="D374" s="1" t="s">
        <v>2541</v>
      </c>
      <c r="E374" s="1" t="s">
        <v>1271</v>
      </c>
      <c r="F374" s="1" t="s">
        <v>14</v>
      </c>
      <c r="G374" s="4" t="str">
        <f>"07047-1810"</f>
        <v>07047-1810</v>
      </c>
      <c r="H374" s="1">
        <v>53</v>
      </c>
      <c r="I374" s="1">
        <v>14.9</v>
      </c>
      <c r="J374" s="1">
        <v>0</v>
      </c>
      <c r="K374" s="1">
        <v>59</v>
      </c>
      <c r="L374" s="1" t="s">
        <v>124</v>
      </c>
      <c r="M374" s="1" t="s">
        <v>2543</v>
      </c>
      <c r="N374" s="1" t="s">
        <v>12</v>
      </c>
      <c r="O374" s="1" t="s">
        <v>2544</v>
      </c>
    </row>
    <row r="375" spans="1:15" x14ac:dyDescent="0.4">
      <c r="A375" s="1" t="s">
        <v>1241</v>
      </c>
      <c r="B375" s="1" t="s">
        <v>3105</v>
      </c>
      <c r="C375" s="1" t="s">
        <v>3112</v>
      </c>
      <c r="D375" s="1" t="s">
        <v>3109</v>
      </c>
      <c r="E375" s="1" t="s">
        <v>1271</v>
      </c>
      <c r="F375" s="1" t="s">
        <v>14</v>
      </c>
      <c r="G375" s="4" t="str">
        <f>"07080"</f>
        <v>07080</v>
      </c>
      <c r="H375" s="1">
        <v>53</v>
      </c>
      <c r="I375" s="1">
        <v>14.9</v>
      </c>
      <c r="J375" s="1">
        <v>0</v>
      </c>
      <c r="K375" s="1">
        <v>59</v>
      </c>
      <c r="L375" s="1" t="s">
        <v>10</v>
      </c>
      <c r="M375" s="1" t="s">
        <v>3110</v>
      </c>
      <c r="N375" s="1" t="s">
        <v>12</v>
      </c>
      <c r="O375" s="1" t="s">
        <v>3111</v>
      </c>
    </row>
    <row r="376" spans="1:15" x14ac:dyDescent="0.4">
      <c r="A376" s="1" t="s">
        <v>2947</v>
      </c>
      <c r="B376" s="1" t="s">
        <v>2945</v>
      </c>
      <c r="C376" s="1" t="s">
        <v>2950</v>
      </c>
      <c r="D376" s="1" t="s">
        <v>2946</v>
      </c>
      <c r="E376" s="1" t="s">
        <v>2962</v>
      </c>
      <c r="F376" s="1" t="s">
        <v>14</v>
      </c>
      <c r="G376" s="4" t="str">
        <f>"08831"</f>
        <v>08831</v>
      </c>
      <c r="H376" s="1">
        <v>97</v>
      </c>
      <c r="I376" s="1">
        <v>20.3</v>
      </c>
      <c r="J376" s="1">
        <v>0</v>
      </c>
      <c r="K376" s="1">
        <v>73</v>
      </c>
      <c r="L376" s="1" t="s">
        <v>176</v>
      </c>
      <c r="M376" s="1" t="s">
        <v>2948</v>
      </c>
      <c r="N376" s="1" t="s">
        <v>12</v>
      </c>
      <c r="O376" s="1" t="s">
        <v>2949</v>
      </c>
    </row>
    <row r="377" spans="1:15" x14ac:dyDescent="0.4">
      <c r="A377" s="1" t="s">
        <v>2947</v>
      </c>
      <c r="B377" s="1" t="s">
        <v>4023</v>
      </c>
      <c r="C377" s="1" t="s">
        <v>4027</v>
      </c>
      <c r="D377" s="1" t="s">
        <v>3940</v>
      </c>
      <c r="E377" s="1" t="s">
        <v>2962</v>
      </c>
      <c r="F377" s="1" t="s">
        <v>14</v>
      </c>
      <c r="G377" s="4" t="str">
        <f>"07470-5652"</f>
        <v>07470-5652</v>
      </c>
      <c r="H377" s="1">
        <v>97</v>
      </c>
      <c r="I377" s="1">
        <v>20.3</v>
      </c>
      <c r="J377" s="1">
        <v>0</v>
      </c>
      <c r="K377" s="1">
        <v>73</v>
      </c>
      <c r="L377" s="1" t="s">
        <v>4024</v>
      </c>
      <c r="M377" s="1" t="s">
        <v>4025</v>
      </c>
      <c r="N377" s="1" t="s">
        <v>12</v>
      </c>
      <c r="O377" s="1" t="s">
        <v>4026</v>
      </c>
    </row>
    <row r="378" spans="1:15" x14ac:dyDescent="0.4">
      <c r="A378" s="1" t="s">
        <v>4092</v>
      </c>
      <c r="B378" s="1" t="s">
        <v>4091</v>
      </c>
      <c r="C378" s="1" t="s">
        <v>4095</v>
      </c>
      <c r="D378" s="1" t="s">
        <v>1608</v>
      </c>
      <c r="E378" s="1" t="s">
        <v>4686</v>
      </c>
      <c r="F378" s="1" t="s">
        <v>14</v>
      </c>
      <c r="G378" s="4" t="str">
        <f>"08079-9048"</f>
        <v>08079-9048</v>
      </c>
      <c r="H378" s="1">
        <v>120</v>
      </c>
      <c r="I378" s="1">
        <v>30.2</v>
      </c>
      <c r="J378" s="1">
        <v>0</v>
      </c>
      <c r="K378" s="1">
        <v>97</v>
      </c>
      <c r="L378" s="1" t="s">
        <v>4093</v>
      </c>
      <c r="M378" s="1" t="s">
        <v>1110</v>
      </c>
      <c r="N378" s="1" t="s">
        <v>12</v>
      </c>
      <c r="O378" s="1" t="s">
        <v>4094</v>
      </c>
    </row>
    <row r="379" spans="1:15" x14ac:dyDescent="0.4">
      <c r="A379" s="1" t="s">
        <v>1446</v>
      </c>
      <c r="B379" s="1" t="s">
        <v>1440</v>
      </c>
      <c r="C379" s="1" t="s">
        <v>1448</v>
      </c>
      <c r="D379" s="1" t="s">
        <v>1445</v>
      </c>
      <c r="E379" s="1" t="s">
        <v>1271</v>
      </c>
      <c r="F379" s="1" t="s">
        <v>14</v>
      </c>
      <c r="G379" s="4" t="str">
        <f>"08021-6526"</f>
        <v>08021-6526</v>
      </c>
      <c r="H379" s="1">
        <v>43</v>
      </c>
      <c r="I379" s="1">
        <v>9.1999999999999993</v>
      </c>
      <c r="J379" s="1">
        <v>0</v>
      </c>
      <c r="K379" s="1">
        <v>82</v>
      </c>
      <c r="L379" s="1" t="s">
        <v>34</v>
      </c>
      <c r="M379" s="1" t="s">
        <v>789</v>
      </c>
      <c r="N379" s="1" t="s">
        <v>12</v>
      </c>
      <c r="O379" s="1" t="s">
        <v>1447</v>
      </c>
    </row>
    <row r="380" spans="1:15" x14ac:dyDescent="0.4">
      <c r="A380" s="1" t="s">
        <v>3443</v>
      </c>
      <c r="B380" s="1" t="s">
        <v>3437</v>
      </c>
      <c r="C380" s="1" t="s">
        <v>3446</v>
      </c>
      <c r="D380" s="1" t="s">
        <v>3442</v>
      </c>
      <c r="E380" s="1" t="s">
        <v>1033</v>
      </c>
      <c r="F380" s="1" t="s">
        <v>14</v>
      </c>
      <c r="G380" s="4" t="str">
        <f>"07005-2221"</f>
        <v>07005-2221</v>
      </c>
      <c r="H380" s="1">
        <v>48</v>
      </c>
      <c r="I380" s="1">
        <v>8.6</v>
      </c>
      <c r="J380" s="1">
        <v>0</v>
      </c>
      <c r="K380" s="1">
        <v>0</v>
      </c>
      <c r="L380" s="1" t="s">
        <v>693</v>
      </c>
      <c r="M380" s="1" t="s">
        <v>3444</v>
      </c>
      <c r="N380" s="1" t="s">
        <v>12</v>
      </c>
      <c r="O380" s="1" t="s">
        <v>3445</v>
      </c>
    </row>
    <row r="381" spans="1:15" x14ac:dyDescent="0.4">
      <c r="A381" s="1" t="s">
        <v>1065</v>
      </c>
      <c r="B381" s="1" t="s">
        <v>1064</v>
      </c>
      <c r="C381" s="1" t="s">
        <v>1068</v>
      </c>
      <c r="D381" s="1" t="s">
        <v>1069</v>
      </c>
      <c r="E381" s="1" t="s">
        <v>4676</v>
      </c>
      <c r="F381" s="1" t="s">
        <v>14</v>
      </c>
      <c r="G381" s="4" t="str">
        <f>"08022-9504"</f>
        <v>08022-9504</v>
      </c>
      <c r="H381" s="1">
        <v>29</v>
      </c>
      <c r="I381" s="1">
        <v>11.8</v>
      </c>
      <c r="J381" s="1">
        <v>0</v>
      </c>
      <c r="K381" s="1">
        <v>62</v>
      </c>
      <c r="L381" s="1" t="s">
        <v>1010</v>
      </c>
      <c r="M381" s="1" t="s">
        <v>1066</v>
      </c>
      <c r="N381" s="1" t="s">
        <v>12</v>
      </c>
      <c r="O381" s="1" t="s">
        <v>1067</v>
      </c>
    </row>
    <row r="382" spans="1:15" x14ac:dyDescent="0.4">
      <c r="A382" s="1" t="s">
        <v>3276</v>
      </c>
      <c r="B382" s="1" t="s">
        <v>3274</v>
      </c>
      <c r="C382" s="1" t="s">
        <v>3279</v>
      </c>
      <c r="D382" s="1" t="s">
        <v>3275</v>
      </c>
      <c r="E382" s="1" t="s">
        <v>4684</v>
      </c>
      <c r="F382" s="1" t="s">
        <v>14</v>
      </c>
      <c r="G382" s="4" t="str">
        <f>"07726"</f>
        <v>07726</v>
      </c>
      <c r="H382" s="1">
        <v>18</v>
      </c>
      <c r="I382" s="1">
        <v>5.9</v>
      </c>
      <c r="J382" s="1">
        <v>0</v>
      </c>
      <c r="K382" s="1">
        <v>210</v>
      </c>
      <c r="L382" s="1" t="s">
        <v>199</v>
      </c>
      <c r="M382" s="1" t="s">
        <v>3277</v>
      </c>
      <c r="N382" s="1" t="s">
        <v>12</v>
      </c>
      <c r="O382" s="1" t="s">
        <v>3278</v>
      </c>
    </row>
    <row r="383" spans="1:15" x14ac:dyDescent="0.4">
      <c r="A383" s="1" t="s">
        <v>2360</v>
      </c>
      <c r="B383" s="1" t="s">
        <v>2350</v>
      </c>
      <c r="C383" s="1" t="s">
        <v>2363</v>
      </c>
      <c r="D383" s="1" t="s">
        <v>2351</v>
      </c>
      <c r="E383" s="1" t="s">
        <v>2239</v>
      </c>
      <c r="F383" s="1" t="s">
        <v>14</v>
      </c>
      <c r="G383" s="4" t="str">
        <f>"07002"</f>
        <v>07002</v>
      </c>
      <c r="H383" s="1">
        <v>29</v>
      </c>
      <c r="I383" s="1">
        <v>4.5</v>
      </c>
      <c r="J383" s="1">
        <v>0</v>
      </c>
      <c r="K383" s="1">
        <v>63</v>
      </c>
      <c r="L383" s="1" t="s">
        <v>2361</v>
      </c>
      <c r="M383" s="1" t="s">
        <v>1959</v>
      </c>
      <c r="N383" s="1" t="s">
        <v>12</v>
      </c>
      <c r="O383" s="1" t="s">
        <v>2362</v>
      </c>
    </row>
    <row r="384" spans="1:15" x14ac:dyDescent="0.4">
      <c r="A384" s="1" t="s">
        <v>2879</v>
      </c>
      <c r="B384" s="1" t="s">
        <v>2877</v>
      </c>
      <c r="C384" s="1" t="s">
        <v>2882</v>
      </c>
      <c r="D384" s="1" t="s">
        <v>2878</v>
      </c>
      <c r="E384" s="1" t="s">
        <v>2962</v>
      </c>
      <c r="F384" s="1" t="s">
        <v>14</v>
      </c>
      <c r="G384" s="4" t="str">
        <f>"08812"</f>
        <v>08812</v>
      </c>
      <c r="H384" s="1">
        <v>62</v>
      </c>
      <c r="I384" s="1">
        <v>10</v>
      </c>
      <c r="J384" s="1">
        <v>0</v>
      </c>
      <c r="K384" s="1">
        <v>90</v>
      </c>
      <c r="L384" s="1" t="s">
        <v>2762</v>
      </c>
      <c r="M384" s="1" t="s">
        <v>2880</v>
      </c>
      <c r="N384" s="1" t="s">
        <v>12</v>
      </c>
      <c r="O384" s="1" t="s">
        <v>2881</v>
      </c>
    </row>
    <row r="385" spans="1:15" x14ac:dyDescent="0.4">
      <c r="A385" s="1" t="s">
        <v>1632</v>
      </c>
      <c r="B385" s="1" t="s">
        <v>1631</v>
      </c>
      <c r="C385" s="1" t="s">
        <v>1635</v>
      </c>
      <c r="D385" s="1" t="s">
        <v>1636</v>
      </c>
      <c r="E385" s="1" t="s">
        <v>4679</v>
      </c>
      <c r="F385" s="1" t="s">
        <v>14</v>
      </c>
      <c r="G385" s="4" t="str">
        <f>"07424"</f>
        <v>07424</v>
      </c>
      <c r="H385" s="1">
        <v>89</v>
      </c>
      <c r="I385" s="1">
        <v>11.3</v>
      </c>
      <c r="J385" s="1">
        <v>0</v>
      </c>
      <c r="K385" s="1">
        <v>96</v>
      </c>
      <c r="L385" s="1" t="s">
        <v>642</v>
      </c>
      <c r="M385" s="1" t="s">
        <v>1633</v>
      </c>
      <c r="N385" s="1" t="s">
        <v>1294</v>
      </c>
      <c r="O385" s="1" t="s">
        <v>1634</v>
      </c>
    </row>
    <row r="386" spans="1:15" x14ac:dyDescent="0.4">
      <c r="A386" s="1" t="s">
        <v>2820</v>
      </c>
      <c r="B386" s="1" t="s">
        <v>2814</v>
      </c>
      <c r="C386" s="1" t="s">
        <v>2822</v>
      </c>
      <c r="D386" s="1" t="s">
        <v>1656</v>
      </c>
      <c r="E386" s="1" t="s">
        <v>4683</v>
      </c>
      <c r="F386" s="1" t="s">
        <v>14</v>
      </c>
      <c r="G386" s="4" t="str">
        <f>"08540"</f>
        <v>08540</v>
      </c>
      <c r="H386" s="1">
        <v>20</v>
      </c>
      <c r="I386" s="1">
        <v>5.6</v>
      </c>
      <c r="J386" s="1">
        <v>0</v>
      </c>
      <c r="K386" s="1">
        <v>46</v>
      </c>
      <c r="L386" s="1" t="s">
        <v>335</v>
      </c>
      <c r="M386" s="1" t="s">
        <v>305</v>
      </c>
      <c r="N386" s="1" t="s">
        <v>12</v>
      </c>
      <c r="O386" s="1" t="s">
        <v>2821</v>
      </c>
    </row>
    <row r="387" spans="1:15" x14ac:dyDescent="0.4">
      <c r="A387" s="1" t="s">
        <v>4397</v>
      </c>
      <c r="B387" s="1" t="s">
        <v>4361</v>
      </c>
      <c r="C387" s="1" t="s">
        <v>4401</v>
      </c>
      <c r="D387" s="1" t="s">
        <v>2423</v>
      </c>
      <c r="E387" s="1" t="s">
        <v>4594</v>
      </c>
      <c r="F387" s="1" t="s">
        <v>14</v>
      </c>
      <c r="G387" s="4" t="str">
        <f>"07208"</f>
        <v>07208</v>
      </c>
      <c r="H387" s="1">
        <v>79</v>
      </c>
      <c r="I387" s="1">
        <v>10.4</v>
      </c>
      <c r="J387" s="1">
        <v>0</v>
      </c>
      <c r="K387" s="1">
        <v>81</v>
      </c>
      <c r="L387" s="1" t="s">
        <v>4398</v>
      </c>
      <c r="M387" s="1" t="s">
        <v>4399</v>
      </c>
      <c r="N387" s="1" t="s">
        <v>12</v>
      </c>
      <c r="O387" s="1" t="s">
        <v>4400</v>
      </c>
    </row>
    <row r="388" spans="1:15" x14ac:dyDescent="0.4">
      <c r="A388" s="1" t="s">
        <v>179</v>
      </c>
      <c r="B388" s="1" t="s">
        <v>177</v>
      </c>
      <c r="C388" s="1" t="s">
        <v>183</v>
      </c>
      <c r="D388" s="1" t="s">
        <v>74</v>
      </c>
      <c r="E388" s="1" t="s">
        <v>4674</v>
      </c>
      <c r="F388" s="1" t="s">
        <v>14</v>
      </c>
      <c r="G388" s="4" t="str">
        <f>"08330"</f>
        <v>08330</v>
      </c>
      <c r="H388" s="1">
        <v>330</v>
      </c>
      <c r="I388" s="1">
        <v>54.8</v>
      </c>
      <c r="J388" s="1">
        <v>0</v>
      </c>
      <c r="K388" s="1">
        <v>272</v>
      </c>
      <c r="L388" s="1" t="s">
        <v>180</v>
      </c>
      <c r="M388" s="1" t="s">
        <v>181</v>
      </c>
      <c r="N388" s="1" t="s">
        <v>12</v>
      </c>
      <c r="O388" s="1" t="s">
        <v>182</v>
      </c>
    </row>
    <row r="389" spans="1:15" x14ac:dyDescent="0.4">
      <c r="A389" s="1" t="s">
        <v>2809</v>
      </c>
      <c r="B389" s="1" t="s">
        <v>2808</v>
      </c>
      <c r="C389" s="1" t="s">
        <v>2813</v>
      </c>
      <c r="D389" s="1" t="s">
        <v>1642</v>
      </c>
      <c r="E389" s="1" t="s">
        <v>4683</v>
      </c>
      <c r="F389" s="1" t="s">
        <v>14</v>
      </c>
      <c r="G389" s="4" t="str">
        <f>"08690"</f>
        <v>08690</v>
      </c>
      <c r="H389" s="1">
        <v>22</v>
      </c>
      <c r="I389" s="1">
        <v>20.2</v>
      </c>
      <c r="J389" s="1">
        <v>0</v>
      </c>
      <c r="K389" s="1">
        <v>12</v>
      </c>
      <c r="L389" s="1" t="s">
        <v>2810</v>
      </c>
      <c r="M389" s="1" t="s">
        <v>2811</v>
      </c>
      <c r="N389" s="1" t="s">
        <v>12</v>
      </c>
      <c r="O389" s="1" t="s">
        <v>2812</v>
      </c>
    </row>
    <row r="390" spans="1:15" x14ac:dyDescent="0.4">
      <c r="A390" s="1" t="s">
        <v>3256</v>
      </c>
      <c r="B390" s="1" t="s">
        <v>3254</v>
      </c>
      <c r="C390" s="1" t="s">
        <v>3258</v>
      </c>
      <c r="D390" s="1" t="s">
        <v>3255</v>
      </c>
      <c r="E390" s="1" t="s">
        <v>4684</v>
      </c>
      <c r="F390" s="1" t="s">
        <v>14</v>
      </c>
      <c r="G390" s="4" t="str">
        <f>"07740"</f>
        <v>07740</v>
      </c>
      <c r="H390" s="1">
        <v>217</v>
      </c>
      <c r="I390" s="1">
        <v>66.599999999999994</v>
      </c>
      <c r="J390" s="1">
        <v>0</v>
      </c>
      <c r="K390" s="1">
        <v>109</v>
      </c>
      <c r="L390" s="1" t="s">
        <v>58</v>
      </c>
      <c r="M390" s="1" t="s">
        <v>910</v>
      </c>
      <c r="N390" s="1" t="s">
        <v>12</v>
      </c>
      <c r="O390" s="1" t="s">
        <v>3257</v>
      </c>
    </row>
    <row r="391" spans="1:15" x14ac:dyDescent="0.4">
      <c r="A391" s="1" t="s">
        <v>2468</v>
      </c>
      <c r="B391" s="1" t="s">
        <v>2416</v>
      </c>
      <c r="C391" s="1" t="s">
        <v>2471</v>
      </c>
      <c r="D391" s="1" t="s">
        <v>1624</v>
      </c>
      <c r="E391" s="1" t="s">
        <v>2239</v>
      </c>
      <c r="F391" s="1" t="s">
        <v>14</v>
      </c>
      <c r="G391" s="4" t="str">
        <f>"07306-2208"</f>
        <v>07306-2208</v>
      </c>
      <c r="H391" s="1">
        <v>101</v>
      </c>
      <c r="I391" s="1">
        <v>16.399999999999999</v>
      </c>
      <c r="J391" s="1">
        <v>0</v>
      </c>
      <c r="K391" s="1">
        <v>106</v>
      </c>
      <c r="L391" s="1" t="s">
        <v>77</v>
      </c>
      <c r="M391" s="1" t="s">
        <v>2469</v>
      </c>
      <c r="N391" s="1" t="s">
        <v>12</v>
      </c>
      <c r="O391" s="1" t="s">
        <v>2470</v>
      </c>
    </row>
    <row r="392" spans="1:15" x14ac:dyDescent="0.4">
      <c r="A392" s="1" t="s">
        <v>4402</v>
      </c>
      <c r="B392" s="1" t="s">
        <v>4361</v>
      </c>
      <c r="C392" s="1" t="s">
        <v>4405</v>
      </c>
      <c r="D392" s="1" t="s">
        <v>2423</v>
      </c>
      <c r="E392" s="1" t="s">
        <v>4594</v>
      </c>
      <c r="F392" s="1" t="s">
        <v>14</v>
      </c>
      <c r="G392" s="4" t="str">
        <f>"07206"</f>
        <v>07206</v>
      </c>
      <c r="H392" s="1">
        <v>36</v>
      </c>
      <c r="I392" s="1">
        <v>4.0999999999999996</v>
      </c>
      <c r="J392" s="1">
        <v>0</v>
      </c>
      <c r="K392" s="1">
        <v>90</v>
      </c>
      <c r="L392" s="1" t="s">
        <v>1283</v>
      </c>
      <c r="M392" s="1" t="s">
        <v>4403</v>
      </c>
      <c r="N392" s="1" t="s">
        <v>12</v>
      </c>
      <c r="O392" s="1" t="s">
        <v>4404</v>
      </c>
    </row>
    <row r="393" spans="1:15" x14ac:dyDescent="0.4">
      <c r="A393" s="1" t="s">
        <v>906</v>
      </c>
      <c r="B393" s="1" t="s">
        <v>904</v>
      </c>
      <c r="C393" s="1" t="s">
        <v>909</v>
      </c>
      <c r="D393" s="1" t="s">
        <v>905</v>
      </c>
      <c r="E393" s="1" t="s">
        <v>4675</v>
      </c>
      <c r="F393" s="1" t="s">
        <v>14</v>
      </c>
      <c r="G393" s="4" t="str">
        <f>"07463"</f>
        <v>07463</v>
      </c>
      <c r="H393" s="1">
        <v>8</v>
      </c>
      <c r="I393" s="1">
        <v>1.9</v>
      </c>
      <c r="J393" s="1">
        <v>0</v>
      </c>
      <c r="K393" s="1">
        <v>64</v>
      </c>
      <c r="L393" s="1" t="s">
        <v>290</v>
      </c>
      <c r="M393" s="1" t="s">
        <v>907</v>
      </c>
      <c r="N393" s="1" t="s">
        <v>12</v>
      </c>
      <c r="O393" s="1" t="s">
        <v>908</v>
      </c>
    </row>
    <row r="394" spans="1:15" x14ac:dyDescent="0.4">
      <c r="A394" s="1" t="s">
        <v>2472</v>
      </c>
      <c r="B394" s="1" t="s">
        <v>2416</v>
      </c>
      <c r="C394" s="1" t="s">
        <v>2475</v>
      </c>
      <c r="D394" s="1" t="s">
        <v>1624</v>
      </c>
      <c r="E394" s="1" t="s">
        <v>2239</v>
      </c>
      <c r="F394" s="1" t="s">
        <v>14</v>
      </c>
      <c r="G394" s="4" t="str">
        <f>"07304-2920"</f>
        <v>07304-2920</v>
      </c>
      <c r="H394" s="1">
        <v>144</v>
      </c>
      <c r="I394" s="1">
        <v>33.299999999999997</v>
      </c>
      <c r="J394" s="1">
        <v>0</v>
      </c>
      <c r="K394" s="1">
        <v>56</v>
      </c>
      <c r="L394" s="1" t="s">
        <v>161</v>
      </c>
      <c r="M394" s="1" t="s">
        <v>2473</v>
      </c>
      <c r="N394" s="1" t="s">
        <v>12</v>
      </c>
      <c r="O394" s="1" t="s">
        <v>2474</v>
      </c>
    </row>
    <row r="395" spans="1:15" x14ac:dyDescent="0.4">
      <c r="A395" s="1" t="s">
        <v>3244</v>
      </c>
      <c r="B395" s="1" t="s">
        <v>3242</v>
      </c>
      <c r="C395" s="1" t="s">
        <v>3247</v>
      </c>
      <c r="D395" s="1" t="s">
        <v>3243</v>
      </c>
      <c r="E395" s="1" t="s">
        <v>4684</v>
      </c>
      <c r="F395" s="1" t="s">
        <v>14</v>
      </c>
      <c r="G395" s="4" t="str">
        <f>"07734-1998"</f>
        <v>07734-1998</v>
      </c>
      <c r="H395" s="1">
        <v>152</v>
      </c>
      <c r="I395" s="1">
        <v>100</v>
      </c>
      <c r="J395" s="1">
        <v>0</v>
      </c>
      <c r="K395" s="1">
        <v>0</v>
      </c>
      <c r="L395" s="1" t="s">
        <v>942</v>
      </c>
      <c r="M395" s="1" t="s">
        <v>3245</v>
      </c>
      <c r="N395" s="1" t="s">
        <v>12</v>
      </c>
      <c r="O395" s="1" t="s">
        <v>3246</v>
      </c>
    </row>
    <row r="396" spans="1:15" x14ac:dyDescent="0.4">
      <c r="A396" s="1" t="s">
        <v>2402</v>
      </c>
      <c r="B396" s="1" t="s">
        <v>2396</v>
      </c>
      <c r="C396" s="1" t="s">
        <v>2406</v>
      </c>
      <c r="D396" s="1" t="s">
        <v>2407</v>
      </c>
      <c r="E396" s="1" t="s">
        <v>2239</v>
      </c>
      <c r="F396" s="1" t="s">
        <v>14</v>
      </c>
      <c r="G396" s="4" t="str">
        <f>"07029-2613"</f>
        <v>07029-2613</v>
      </c>
      <c r="H396" s="1">
        <v>29</v>
      </c>
      <c r="I396" s="1">
        <v>8.8000000000000007</v>
      </c>
      <c r="J396" s="1">
        <v>0</v>
      </c>
      <c r="K396" s="1">
        <v>156</v>
      </c>
      <c r="L396" s="1" t="s">
        <v>2403</v>
      </c>
      <c r="M396" s="1" t="s">
        <v>2404</v>
      </c>
      <c r="N396" s="1" t="s">
        <v>12</v>
      </c>
      <c r="O396" s="1" t="s">
        <v>2405</v>
      </c>
    </row>
    <row r="397" spans="1:15" x14ac:dyDescent="0.4">
      <c r="A397" s="1" t="s">
        <v>2402</v>
      </c>
      <c r="B397" s="1" t="s">
        <v>3612</v>
      </c>
      <c r="C397" s="1" t="s">
        <v>3618</v>
      </c>
      <c r="D397" s="1" t="s">
        <v>3613</v>
      </c>
      <c r="E397" s="1" t="s">
        <v>2239</v>
      </c>
      <c r="F397" s="1" t="s">
        <v>14</v>
      </c>
      <c r="G397" s="4" t="str">
        <f>"07876"</f>
        <v>07876</v>
      </c>
      <c r="H397" s="1">
        <v>29</v>
      </c>
      <c r="I397" s="1">
        <v>8.8000000000000007</v>
      </c>
      <c r="J397" s="1">
        <v>0</v>
      </c>
      <c r="K397" s="1">
        <v>156</v>
      </c>
      <c r="L397" s="1" t="s">
        <v>58</v>
      </c>
      <c r="M397" s="1" t="s">
        <v>1947</v>
      </c>
      <c r="N397" s="1" t="s">
        <v>12</v>
      </c>
      <c r="O397" s="1" t="s">
        <v>3617</v>
      </c>
    </row>
    <row r="398" spans="1:15" x14ac:dyDescent="0.4">
      <c r="A398" s="1" t="s">
        <v>3140</v>
      </c>
      <c r="B398" s="1" t="s">
        <v>3135</v>
      </c>
      <c r="C398" s="1" t="s">
        <v>3143</v>
      </c>
      <c r="D398" s="1" t="s">
        <v>3139</v>
      </c>
      <c r="E398" s="1" t="s">
        <v>2962</v>
      </c>
      <c r="F398" s="1" t="s">
        <v>14</v>
      </c>
      <c r="G398" s="4" t="str">
        <f>"08830"</f>
        <v>08830</v>
      </c>
      <c r="H398" s="1">
        <v>21</v>
      </c>
      <c r="I398" s="1">
        <v>8.1999999999999993</v>
      </c>
      <c r="J398" s="1">
        <v>0</v>
      </c>
      <c r="K398" s="1">
        <v>202</v>
      </c>
      <c r="L398" s="1" t="s">
        <v>1676</v>
      </c>
      <c r="M398" s="1" t="s">
        <v>3141</v>
      </c>
      <c r="N398" s="1" t="s">
        <v>12</v>
      </c>
      <c r="O398" s="1" t="s">
        <v>3142</v>
      </c>
    </row>
    <row r="399" spans="1:15" x14ac:dyDescent="0.4">
      <c r="A399" s="1" t="s">
        <v>3249</v>
      </c>
      <c r="B399" s="1" t="s">
        <v>3248</v>
      </c>
      <c r="C399" s="1" t="s">
        <v>3252</v>
      </c>
      <c r="D399" s="1" t="s">
        <v>3253</v>
      </c>
      <c r="E399" s="1" t="s">
        <v>4684</v>
      </c>
      <c r="F399" s="1" t="s">
        <v>14</v>
      </c>
      <c r="G399" s="4" t="str">
        <f>"07735-1694"</f>
        <v>07735-1694</v>
      </c>
      <c r="H399" s="1">
        <v>103</v>
      </c>
      <c r="I399" s="1">
        <v>17</v>
      </c>
      <c r="J399" s="1">
        <v>0</v>
      </c>
      <c r="K399" s="1">
        <v>57</v>
      </c>
      <c r="L399" s="1" t="s">
        <v>10</v>
      </c>
      <c r="M399" s="1" t="s">
        <v>3250</v>
      </c>
      <c r="N399" s="1" t="s">
        <v>12</v>
      </c>
      <c r="O399" s="1" t="s">
        <v>3251</v>
      </c>
    </row>
    <row r="400" spans="1:15" x14ac:dyDescent="0.4">
      <c r="A400" s="1" t="s">
        <v>2698</v>
      </c>
      <c r="B400" s="1" t="s">
        <v>2697</v>
      </c>
      <c r="C400" s="1" t="s">
        <v>2701</v>
      </c>
      <c r="D400" s="1" t="s">
        <v>2679</v>
      </c>
      <c r="E400" s="1" t="s">
        <v>4682</v>
      </c>
      <c r="F400" s="1" t="s">
        <v>14</v>
      </c>
      <c r="G400" s="4" t="str">
        <f>"08825-9731"</f>
        <v>08825-9731</v>
      </c>
      <c r="H400" s="1">
        <v>29</v>
      </c>
      <c r="I400" s="1">
        <v>8.5</v>
      </c>
      <c r="J400" s="1">
        <v>0</v>
      </c>
      <c r="K400" s="1">
        <v>24</v>
      </c>
      <c r="L400" s="1" t="s">
        <v>335</v>
      </c>
      <c r="M400" s="1" t="s">
        <v>2699</v>
      </c>
      <c r="N400" s="1" t="s">
        <v>12</v>
      </c>
      <c r="O400" s="1" t="s">
        <v>2700</v>
      </c>
    </row>
    <row r="401" spans="1:15" x14ac:dyDescent="0.4">
      <c r="A401" s="1" t="s">
        <v>4699</v>
      </c>
      <c r="B401" s="1" t="s">
        <v>1079</v>
      </c>
      <c r="C401" s="1" t="s">
        <v>1092</v>
      </c>
      <c r="D401" s="1" t="s">
        <v>1054</v>
      </c>
      <c r="E401" s="1" t="s">
        <v>4676</v>
      </c>
      <c r="F401" s="1" t="s">
        <v>14</v>
      </c>
      <c r="G401" s="4" t="str">
        <f>"08055"</f>
        <v>08055</v>
      </c>
      <c r="H401" s="1">
        <v>50</v>
      </c>
      <c r="I401" s="1">
        <v>12.4</v>
      </c>
      <c r="J401" s="1">
        <v>0</v>
      </c>
      <c r="K401" s="1">
        <v>59</v>
      </c>
      <c r="L401" s="1" t="s">
        <v>891</v>
      </c>
      <c r="M401" s="1" t="s">
        <v>1090</v>
      </c>
      <c r="N401" s="1" t="s">
        <v>12</v>
      </c>
      <c r="O401" s="1" t="s">
        <v>1091</v>
      </c>
    </row>
    <row r="402" spans="1:15" x14ac:dyDescent="0.4">
      <c r="A402" s="1" t="s">
        <v>1467</v>
      </c>
      <c r="B402" s="1" t="s">
        <v>1466</v>
      </c>
      <c r="C402" s="1" t="s">
        <v>1469</v>
      </c>
      <c r="D402" s="1" t="s">
        <v>1335</v>
      </c>
      <c r="E402" s="1" t="s">
        <v>1271</v>
      </c>
      <c r="F402" s="1" t="s">
        <v>14</v>
      </c>
      <c r="G402" s="4" t="str">
        <f>"08043-9545"</f>
        <v>08043-9545</v>
      </c>
      <c r="H402" s="1">
        <v>76</v>
      </c>
      <c r="I402" s="1">
        <v>14.4</v>
      </c>
      <c r="J402" s="1">
        <v>0</v>
      </c>
      <c r="K402" s="1">
        <v>83</v>
      </c>
      <c r="L402" s="1" t="s">
        <v>794</v>
      </c>
      <c r="M402" s="1" t="s">
        <v>1033</v>
      </c>
      <c r="N402" s="1" t="s">
        <v>12</v>
      </c>
      <c r="O402" s="1" t="s">
        <v>1468</v>
      </c>
    </row>
    <row r="403" spans="1:15" x14ac:dyDescent="0.4">
      <c r="A403" s="1" t="s">
        <v>4064</v>
      </c>
      <c r="B403" s="1" t="s">
        <v>4062</v>
      </c>
      <c r="C403" s="1" t="s">
        <v>4067</v>
      </c>
      <c r="D403" s="1" t="s">
        <v>4063</v>
      </c>
      <c r="E403" s="1" t="s">
        <v>4686</v>
      </c>
      <c r="F403" s="1" t="s">
        <v>14</v>
      </c>
      <c r="G403" s="4" t="str">
        <f>"08069-1369"</f>
        <v>08069-1369</v>
      </c>
      <c r="H403" s="1">
        <v>145</v>
      </c>
      <c r="I403" s="1">
        <v>46.3</v>
      </c>
      <c r="J403" s="1">
        <v>0</v>
      </c>
      <c r="K403" s="1">
        <v>168</v>
      </c>
      <c r="L403" s="1" t="s">
        <v>322</v>
      </c>
      <c r="M403" s="1" t="s">
        <v>4065</v>
      </c>
      <c r="N403" s="1" t="s">
        <v>12</v>
      </c>
      <c r="O403" s="1" t="s">
        <v>4066</v>
      </c>
    </row>
    <row r="404" spans="1:15" x14ac:dyDescent="0.4">
      <c r="A404" s="1" t="s">
        <v>3144</v>
      </c>
      <c r="B404" s="1" t="s">
        <v>3135</v>
      </c>
      <c r="C404" s="1" t="s">
        <v>3147</v>
      </c>
      <c r="D404" s="1" t="s">
        <v>3138</v>
      </c>
      <c r="E404" s="1" t="s">
        <v>2962</v>
      </c>
      <c r="F404" s="1" t="s">
        <v>14</v>
      </c>
      <c r="G404" s="4" t="str">
        <f>"08863"</f>
        <v>08863</v>
      </c>
      <c r="H404" s="1">
        <v>1</v>
      </c>
      <c r="I404" s="1">
        <v>0.1</v>
      </c>
      <c r="J404" s="1">
        <v>0</v>
      </c>
      <c r="K404" s="1">
        <v>67</v>
      </c>
      <c r="L404" s="1" t="s">
        <v>535</v>
      </c>
      <c r="M404" s="1" t="s">
        <v>3145</v>
      </c>
      <c r="N404" s="1" t="s">
        <v>12</v>
      </c>
      <c r="O404" s="1" t="s">
        <v>3146</v>
      </c>
    </row>
    <row r="405" spans="1:15" x14ac:dyDescent="0.4">
      <c r="A405" s="1" t="s">
        <v>3548</v>
      </c>
      <c r="B405" s="1" t="s">
        <v>3547</v>
      </c>
      <c r="C405" s="1" t="s">
        <v>3551</v>
      </c>
      <c r="D405" s="1" t="s">
        <v>1677</v>
      </c>
      <c r="E405" s="1" t="s">
        <v>1033</v>
      </c>
      <c r="F405" s="1" t="s">
        <v>14</v>
      </c>
      <c r="G405" s="4" t="str">
        <f>"07960"</f>
        <v>07960</v>
      </c>
      <c r="H405" s="1">
        <v>118</v>
      </c>
      <c r="I405" s="1">
        <v>100</v>
      </c>
      <c r="J405" s="1">
        <v>0</v>
      </c>
      <c r="K405" s="1">
        <v>0</v>
      </c>
      <c r="L405" s="1" t="s">
        <v>853</v>
      </c>
      <c r="M405" s="1" t="s">
        <v>3549</v>
      </c>
      <c r="N405" s="1" t="s">
        <v>12</v>
      </c>
      <c r="O405" s="1" t="s">
        <v>3550</v>
      </c>
    </row>
    <row r="406" spans="1:15" x14ac:dyDescent="0.4">
      <c r="A406" s="1" t="s">
        <v>2034</v>
      </c>
      <c r="B406" s="1" t="s">
        <v>1952</v>
      </c>
      <c r="C406" s="1" t="s">
        <v>2037</v>
      </c>
      <c r="D406" s="1" t="s">
        <v>1610</v>
      </c>
      <c r="E406" s="1" t="s">
        <v>4681</v>
      </c>
      <c r="F406" s="1" t="s">
        <v>14</v>
      </c>
      <c r="G406" s="4" t="str">
        <f>"07105-1843"</f>
        <v>07105-1843</v>
      </c>
      <c r="H406" s="1">
        <v>147</v>
      </c>
      <c r="I406" s="1">
        <v>12.1</v>
      </c>
      <c r="J406" s="1">
        <v>0</v>
      </c>
      <c r="K406" s="1">
        <v>119</v>
      </c>
      <c r="L406" s="1" t="s">
        <v>534</v>
      </c>
      <c r="M406" s="1" t="s">
        <v>2035</v>
      </c>
      <c r="N406" s="1" t="s">
        <v>12</v>
      </c>
      <c r="O406" s="1" t="s">
        <v>2036</v>
      </c>
    </row>
    <row r="407" spans="1:15" x14ac:dyDescent="0.4">
      <c r="A407" s="1" t="s">
        <v>4292</v>
      </c>
      <c r="B407" s="1" t="s">
        <v>4291</v>
      </c>
      <c r="C407" s="1" t="s">
        <v>4295</v>
      </c>
      <c r="D407" s="1" t="s">
        <v>4296</v>
      </c>
      <c r="E407" s="1" t="s">
        <v>4687</v>
      </c>
      <c r="F407" s="1" t="s">
        <v>14</v>
      </c>
      <c r="G407" s="4" t="str">
        <f>"07848"</f>
        <v>07848</v>
      </c>
      <c r="H407" s="1">
        <v>27</v>
      </c>
      <c r="I407" s="1">
        <v>11.6</v>
      </c>
      <c r="J407" s="1">
        <v>0</v>
      </c>
      <c r="K407" s="1">
        <v>17</v>
      </c>
      <c r="L407" s="1" t="s">
        <v>176</v>
      </c>
      <c r="M407" s="1" t="s">
        <v>4293</v>
      </c>
      <c r="N407" s="1" t="s">
        <v>134</v>
      </c>
      <c r="O407" s="1" t="s">
        <v>4294</v>
      </c>
    </row>
    <row r="408" spans="1:15" x14ac:dyDescent="0.4">
      <c r="A408" s="1" t="s">
        <v>3562</v>
      </c>
      <c r="B408" s="1" t="s">
        <v>3561</v>
      </c>
      <c r="C408" s="1" t="s">
        <v>3565</v>
      </c>
      <c r="D408" s="1" t="s">
        <v>3566</v>
      </c>
      <c r="E408" s="1" t="s">
        <v>1033</v>
      </c>
      <c r="F408" s="1" t="s">
        <v>14</v>
      </c>
      <c r="G408" s="4" t="str">
        <f>"07046-1342"</f>
        <v>07046-1342</v>
      </c>
      <c r="H408" s="1">
        <v>14</v>
      </c>
      <c r="I408" s="1">
        <v>17.7</v>
      </c>
      <c r="J408" s="1">
        <v>1</v>
      </c>
      <c r="K408" s="1">
        <v>11</v>
      </c>
      <c r="L408" s="1" t="s">
        <v>255</v>
      </c>
      <c r="M408" s="1" t="s">
        <v>3563</v>
      </c>
      <c r="N408" s="1" t="s">
        <v>12</v>
      </c>
      <c r="O408" s="1" t="s">
        <v>3564</v>
      </c>
    </row>
    <row r="409" spans="1:15" x14ac:dyDescent="0.4">
      <c r="A409" s="1" t="s">
        <v>3580</v>
      </c>
      <c r="B409" s="1" t="s">
        <v>3573</v>
      </c>
      <c r="C409" s="1" t="s">
        <v>3583</v>
      </c>
      <c r="D409" s="1" t="s">
        <v>3579</v>
      </c>
      <c r="E409" s="1" t="s">
        <v>1033</v>
      </c>
      <c r="F409" s="1" t="s">
        <v>14</v>
      </c>
      <c r="G409" s="4" t="str">
        <f>"07034"</f>
        <v>07034</v>
      </c>
      <c r="H409" s="1">
        <v>47</v>
      </c>
      <c r="I409" s="1">
        <v>10.6</v>
      </c>
      <c r="J409" s="1">
        <v>0</v>
      </c>
      <c r="K409" s="1">
        <v>42</v>
      </c>
      <c r="L409" s="1" t="s">
        <v>1334</v>
      </c>
      <c r="M409" s="1" t="s">
        <v>3581</v>
      </c>
      <c r="N409" s="1" t="s">
        <v>12</v>
      </c>
      <c r="O409" s="1" t="s">
        <v>3582</v>
      </c>
    </row>
    <row r="410" spans="1:15" x14ac:dyDescent="0.4">
      <c r="A410" s="1" t="s">
        <v>3733</v>
      </c>
      <c r="B410" s="1" t="s">
        <v>3732</v>
      </c>
      <c r="C410" s="1" t="s">
        <v>3736</v>
      </c>
      <c r="D410" s="1" t="s">
        <v>3737</v>
      </c>
      <c r="E410" s="1" t="s">
        <v>4685</v>
      </c>
      <c r="F410" s="1" t="s">
        <v>14</v>
      </c>
      <c r="G410" s="4" t="str">
        <f>"08733-2935"</f>
        <v>08733-2935</v>
      </c>
      <c r="H410" s="1">
        <v>79</v>
      </c>
      <c r="I410" s="1">
        <v>19.2</v>
      </c>
      <c r="J410" s="1">
        <v>0</v>
      </c>
      <c r="K410" s="1">
        <v>31</v>
      </c>
      <c r="L410" s="1" t="s">
        <v>2595</v>
      </c>
      <c r="M410" s="1" t="s">
        <v>3734</v>
      </c>
      <c r="N410" s="1" t="s">
        <v>105</v>
      </c>
      <c r="O410" s="1" t="s">
        <v>3735</v>
      </c>
    </row>
    <row r="411" spans="1:15" x14ac:dyDescent="0.4">
      <c r="A411" s="1" t="s">
        <v>3740</v>
      </c>
      <c r="B411" s="1" t="s">
        <v>3738</v>
      </c>
      <c r="C411" s="1" t="s">
        <v>1592</v>
      </c>
      <c r="D411" s="1" t="s">
        <v>3739</v>
      </c>
      <c r="E411" s="1" t="s">
        <v>4685</v>
      </c>
      <c r="F411" s="1" t="s">
        <v>14</v>
      </c>
      <c r="G411" s="4" t="str">
        <f>"08701"</f>
        <v>08701</v>
      </c>
      <c r="H411" s="1">
        <v>216</v>
      </c>
      <c r="I411" s="1">
        <v>87.1</v>
      </c>
      <c r="J411" s="1">
        <v>0</v>
      </c>
      <c r="K411" s="1">
        <v>32</v>
      </c>
      <c r="L411" s="1" t="s">
        <v>693</v>
      </c>
      <c r="M411" s="1" t="s">
        <v>3741</v>
      </c>
      <c r="N411" s="1" t="s">
        <v>12</v>
      </c>
      <c r="O411" s="1" t="s">
        <v>3742</v>
      </c>
    </row>
    <row r="412" spans="1:15" x14ac:dyDescent="0.4">
      <c r="A412" s="1" t="s">
        <v>4131</v>
      </c>
      <c r="B412" s="1" t="s">
        <v>4129</v>
      </c>
      <c r="C412" s="1" t="s">
        <v>4135</v>
      </c>
      <c r="D412" s="1" t="s">
        <v>4130</v>
      </c>
      <c r="E412" s="1" t="s">
        <v>1597</v>
      </c>
      <c r="F412" s="1" t="s">
        <v>14</v>
      </c>
      <c r="G412" s="4" t="str">
        <f>"08805"</f>
        <v>08805</v>
      </c>
      <c r="H412" s="1">
        <v>137</v>
      </c>
      <c r="I412" s="1">
        <v>36.5</v>
      </c>
      <c r="J412" s="1">
        <v>0</v>
      </c>
      <c r="K412" s="1">
        <v>106</v>
      </c>
      <c r="L412" s="1" t="s">
        <v>4132</v>
      </c>
      <c r="M412" s="1" t="s">
        <v>4133</v>
      </c>
      <c r="N412" s="1" t="s">
        <v>12</v>
      </c>
      <c r="O412" s="1" t="s">
        <v>4134</v>
      </c>
    </row>
    <row r="413" spans="1:15" x14ac:dyDescent="0.4">
      <c r="A413" s="1" t="s">
        <v>1861</v>
      </c>
      <c r="B413" s="1" t="s">
        <v>1826</v>
      </c>
      <c r="C413" s="1" t="s">
        <v>1864</v>
      </c>
      <c r="D413" s="1" t="s">
        <v>1612</v>
      </c>
      <c r="E413" s="1" t="s">
        <v>4681</v>
      </c>
      <c r="F413" s="1" t="s">
        <v>14</v>
      </c>
      <c r="G413" s="4" t="str">
        <f>"07018-2438"</f>
        <v>07018-2438</v>
      </c>
      <c r="H413" s="1">
        <v>85</v>
      </c>
      <c r="I413" s="1">
        <v>15.3</v>
      </c>
      <c r="J413" s="1">
        <v>0</v>
      </c>
      <c r="K413" s="1">
        <v>76</v>
      </c>
      <c r="L413" s="1" t="s">
        <v>1862</v>
      </c>
      <c r="M413" s="1" t="s">
        <v>670</v>
      </c>
      <c r="N413" s="1" t="s">
        <v>12</v>
      </c>
      <c r="O413" s="1" t="s">
        <v>1863</v>
      </c>
    </row>
    <row r="414" spans="1:15" x14ac:dyDescent="0.4">
      <c r="A414" s="1" t="s">
        <v>2171</v>
      </c>
      <c r="B414" s="1" t="s">
        <v>2166</v>
      </c>
      <c r="C414" s="1" t="s">
        <v>2174</v>
      </c>
      <c r="D414" s="1" t="s">
        <v>2167</v>
      </c>
      <c r="E414" s="1" t="s">
        <v>4681</v>
      </c>
      <c r="F414" s="1" t="s">
        <v>14</v>
      </c>
      <c r="G414" s="4" t="str">
        <f>"07044-2510"</f>
        <v>07044-2510</v>
      </c>
      <c r="H414" s="1">
        <v>15</v>
      </c>
      <c r="I414" s="1">
        <v>5.7</v>
      </c>
      <c r="J414" s="1">
        <v>0</v>
      </c>
      <c r="K414" s="1">
        <v>48</v>
      </c>
      <c r="L414" s="1" t="s">
        <v>1862</v>
      </c>
      <c r="M414" s="1" t="s">
        <v>2172</v>
      </c>
      <c r="N414" s="1" t="s">
        <v>12</v>
      </c>
      <c r="O414" s="1" t="s">
        <v>2173</v>
      </c>
    </row>
    <row r="415" spans="1:15" x14ac:dyDescent="0.4">
      <c r="A415" s="1" t="s">
        <v>1125</v>
      </c>
      <c r="B415" s="1" t="s">
        <v>1119</v>
      </c>
      <c r="C415" s="1" t="s">
        <v>1129</v>
      </c>
      <c r="D415" s="1" t="s">
        <v>1120</v>
      </c>
      <c r="E415" s="1" t="s">
        <v>4676</v>
      </c>
      <c r="F415" s="1" t="s">
        <v>14</v>
      </c>
      <c r="G415" s="4" t="str">
        <f>"08054"</f>
        <v>08054</v>
      </c>
      <c r="H415" s="1">
        <v>42</v>
      </c>
      <c r="I415" s="1">
        <v>11.4</v>
      </c>
      <c r="J415" s="1">
        <v>0</v>
      </c>
      <c r="K415" s="1">
        <v>65</v>
      </c>
      <c r="L415" s="1" t="s">
        <v>1126</v>
      </c>
      <c r="M415" s="1" t="s">
        <v>1127</v>
      </c>
      <c r="N415" s="1" t="s">
        <v>12</v>
      </c>
      <c r="O415" s="1" t="s">
        <v>1128</v>
      </c>
    </row>
    <row r="416" spans="1:15" x14ac:dyDescent="0.4">
      <c r="A416" s="1" t="s">
        <v>3748</v>
      </c>
      <c r="B416" s="1" t="s">
        <v>3747</v>
      </c>
      <c r="C416" s="1" t="s">
        <v>3750</v>
      </c>
      <c r="D416" s="1" t="s">
        <v>3751</v>
      </c>
      <c r="E416" s="1" t="s">
        <v>4685</v>
      </c>
      <c r="F416" s="1" t="s">
        <v>14</v>
      </c>
      <c r="G416" s="4" t="str">
        <f>"08735-2321"</f>
        <v>08735-2321</v>
      </c>
      <c r="H416" s="1">
        <v>16</v>
      </c>
      <c r="I416" s="1">
        <v>11.3</v>
      </c>
      <c r="J416" s="1">
        <v>0</v>
      </c>
      <c r="K416" s="1">
        <v>14</v>
      </c>
      <c r="L416" s="1" t="s">
        <v>165</v>
      </c>
      <c r="M416" s="1" t="s">
        <v>1304</v>
      </c>
      <c r="N416" s="1" t="s">
        <v>105</v>
      </c>
      <c r="O416" s="1" t="s">
        <v>3749</v>
      </c>
    </row>
    <row r="417" spans="1:15" x14ac:dyDescent="0.4">
      <c r="A417" s="1" t="s">
        <v>1390</v>
      </c>
      <c r="B417" s="1" t="s">
        <v>1390</v>
      </c>
      <c r="C417" s="1" t="s">
        <v>1394</v>
      </c>
      <c r="D417" s="1" t="s">
        <v>1395</v>
      </c>
      <c r="E417" s="1" t="s">
        <v>1271</v>
      </c>
      <c r="F417" s="1" t="s">
        <v>14</v>
      </c>
      <c r="G417" s="4" t="str">
        <f>"08045-1404"</f>
        <v>08045-1404</v>
      </c>
      <c r="H417" s="1">
        <v>38</v>
      </c>
      <c r="I417" s="1">
        <v>11.4</v>
      </c>
      <c r="J417" s="1">
        <v>0</v>
      </c>
      <c r="K417" s="1">
        <v>33</v>
      </c>
      <c r="L417" s="1" t="s">
        <v>1391</v>
      </c>
      <c r="M417" s="1" t="s">
        <v>1392</v>
      </c>
      <c r="N417" s="1" t="s">
        <v>105</v>
      </c>
      <c r="O417" s="1" t="s">
        <v>1393</v>
      </c>
    </row>
    <row r="418" spans="1:15" x14ac:dyDescent="0.4">
      <c r="A418" s="1" t="s">
        <v>2791</v>
      </c>
      <c r="B418" s="1" t="s">
        <v>2781</v>
      </c>
      <c r="C418" s="1" t="s">
        <v>2793</v>
      </c>
      <c r="D418" s="1" t="s">
        <v>2786</v>
      </c>
      <c r="E418" s="1" t="s">
        <v>4683</v>
      </c>
      <c r="F418" s="1" t="s">
        <v>14</v>
      </c>
      <c r="G418" s="4" t="str">
        <f>"08648-3631"</f>
        <v>08648-3631</v>
      </c>
      <c r="H418" s="1">
        <v>14</v>
      </c>
      <c r="I418" s="1">
        <v>1.2</v>
      </c>
      <c r="J418" s="1">
        <v>0</v>
      </c>
      <c r="K418" s="1">
        <v>0</v>
      </c>
      <c r="L418" s="1" t="s">
        <v>132</v>
      </c>
      <c r="M418" s="1" t="s">
        <v>741</v>
      </c>
      <c r="N418" s="1" t="s">
        <v>12</v>
      </c>
      <c r="O418" s="1" t="s">
        <v>2792</v>
      </c>
    </row>
    <row r="419" spans="1:15" x14ac:dyDescent="0.4">
      <c r="A419" s="1" t="s">
        <v>2795</v>
      </c>
      <c r="B419" s="1" t="s">
        <v>2781</v>
      </c>
      <c r="C419" s="1" t="s">
        <v>2797</v>
      </c>
      <c r="D419" s="1" t="s">
        <v>2786</v>
      </c>
      <c r="E419" s="1" t="s">
        <v>4683</v>
      </c>
      <c r="F419" s="1" t="s">
        <v>14</v>
      </c>
      <c r="G419" s="4" t="str">
        <f>"08648-1637"</f>
        <v>08648-1637</v>
      </c>
      <c r="H419" s="1">
        <v>58</v>
      </c>
      <c r="I419" s="1">
        <v>19.3</v>
      </c>
      <c r="J419" s="1">
        <v>0</v>
      </c>
      <c r="K419" s="1">
        <v>68</v>
      </c>
      <c r="L419" s="1" t="s">
        <v>289</v>
      </c>
      <c r="M419" s="1" t="s">
        <v>2467</v>
      </c>
      <c r="N419" s="1" t="s">
        <v>12</v>
      </c>
      <c r="O419" s="1" t="s">
        <v>2796</v>
      </c>
    </row>
    <row r="420" spans="1:15" x14ac:dyDescent="0.4">
      <c r="A420" s="1" t="s">
        <v>1671</v>
      </c>
      <c r="B420" s="1" t="s">
        <v>1670</v>
      </c>
      <c r="C420" s="1" t="s">
        <v>1674</v>
      </c>
      <c r="D420" s="1" t="s">
        <v>1624</v>
      </c>
      <c r="E420" s="1" t="s">
        <v>4679</v>
      </c>
      <c r="F420" s="1" t="s">
        <v>14</v>
      </c>
      <c r="G420" s="4" t="str">
        <f>"07304"</f>
        <v>07304</v>
      </c>
      <c r="H420" s="1">
        <v>44</v>
      </c>
      <c r="I420" s="1">
        <v>6.9</v>
      </c>
      <c r="J420" s="1">
        <v>0</v>
      </c>
      <c r="K420" s="1">
        <v>66</v>
      </c>
      <c r="L420" s="1" t="s">
        <v>426</v>
      </c>
      <c r="M420" s="1" t="s">
        <v>1672</v>
      </c>
      <c r="N420" s="1" t="s">
        <v>1294</v>
      </c>
      <c r="O420" s="1" t="s">
        <v>1673</v>
      </c>
    </row>
    <row r="421" spans="1:15" x14ac:dyDescent="0.4">
      <c r="A421" s="1" t="s">
        <v>2703</v>
      </c>
      <c r="B421" s="1" t="s">
        <v>2702</v>
      </c>
      <c r="C421" s="1" t="s">
        <v>2706</v>
      </c>
      <c r="D421" s="1" t="s">
        <v>2628</v>
      </c>
      <c r="E421" s="1" t="s">
        <v>4682</v>
      </c>
      <c r="F421" s="1" t="s">
        <v>14</v>
      </c>
      <c r="G421" s="4" t="str">
        <f>"08833-2118"</f>
        <v>08833-2118</v>
      </c>
      <c r="H421" s="1">
        <v>7</v>
      </c>
      <c r="I421" s="1">
        <v>8</v>
      </c>
      <c r="J421" s="1">
        <v>0</v>
      </c>
      <c r="K421" s="1">
        <v>19</v>
      </c>
      <c r="L421" s="1" t="s">
        <v>273</v>
      </c>
      <c r="M421" s="1" t="s">
        <v>2704</v>
      </c>
      <c r="N421" s="1" t="s">
        <v>134</v>
      </c>
      <c r="O421" s="1" t="s">
        <v>2705</v>
      </c>
    </row>
    <row r="422" spans="1:15" x14ac:dyDescent="0.4">
      <c r="A422" s="1" t="s">
        <v>223</v>
      </c>
      <c r="B422" s="1" t="s">
        <v>222</v>
      </c>
      <c r="C422" s="1" t="s">
        <v>227</v>
      </c>
      <c r="D422" s="1" t="s">
        <v>228</v>
      </c>
      <c r="E422" s="1" t="s">
        <v>4674</v>
      </c>
      <c r="F422" s="1" t="s">
        <v>14</v>
      </c>
      <c r="G422" s="4" t="str">
        <f>"08232"</f>
        <v>08232</v>
      </c>
      <c r="H422" s="1">
        <v>90</v>
      </c>
      <c r="I422" s="1">
        <v>15.8</v>
      </c>
      <c r="J422" s="1">
        <v>0</v>
      </c>
      <c r="K422" s="1">
        <v>100</v>
      </c>
      <c r="L422" s="1" t="s">
        <v>224</v>
      </c>
      <c r="M422" s="1" t="s">
        <v>225</v>
      </c>
      <c r="N422" s="1" t="s">
        <v>12</v>
      </c>
      <c r="O422" s="1" t="s">
        <v>226</v>
      </c>
    </row>
    <row r="423" spans="1:15" x14ac:dyDescent="0.4">
      <c r="A423" s="1" t="s">
        <v>3259</v>
      </c>
      <c r="B423" s="1" t="s">
        <v>3254</v>
      </c>
      <c r="C423" s="1" t="s">
        <v>3263</v>
      </c>
      <c r="D423" s="1" t="s">
        <v>3255</v>
      </c>
      <c r="E423" s="1" t="s">
        <v>4684</v>
      </c>
      <c r="F423" s="1" t="s">
        <v>14</v>
      </c>
      <c r="G423" s="4" t="str">
        <f>"07740"</f>
        <v>07740</v>
      </c>
      <c r="H423" s="1">
        <v>190</v>
      </c>
      <c r="I423" s="1">
        <v>66.400000000000006</v>
      </c>
      <c r="J423" s="1">
        <v>0</v>
      </c>
      <c r="K423" s="1">
        <v>96</v>
      </c>
      <c r="L423" s="1" t="s">
        <v>3260</v>
      </c>
      <c r="M423" s="1" t="s">
        <v>3261</v>
      </c>
      <c r="N423" s="1" t="s">
        <v>12</v>
      </c>
      <c r="O423" s="1" t="s">
        <v>3262</v>
      </c>
    </row>
    <row r="424" spans="1:15" x14ac:dyDescent="0.4">
      <c r="A424" s="1" t="s">
        <v>3655</v>
      </c>
      <c r="B424" s="1" t="s">
        <v>3653</v>
      </c>
      <c r="C424" s="1" t="s">
        <v>3658</v>
      </c>
      <c r="D424" s="1" t="s">
        <v>3654</v>
      </c>
      <c r="E424" s="1" t="s">
        <v>4685</v>
      </c>
      <c r="F424" s="1" t="s">
        <v>14</v>
      </c>
      <c r="G424" s="4" t="str">
        <f>"08005-2497"</f>
        <v>08005-2497</v>
      </c>
      <c r="H424" s="1">
        <v>325</v>
      </c>
      <c r="I424" s="1">
        <v>100</v>
      </c>
      <c r="J424" s="1">
        <v>0</v>
      </c>
      <c r="K424" s="1">
        <v>0</v>
      </c>
      <c r="L424" s="1" t="s">
        <v>40</v>
      </c>
      <c r="M424" s="1" t="s">
        <v>3656</v>
      </c>
      <c r="N424" s="1" t="s">
        <v>12</v>
      </c>
      <c r="O424" s="1" t="s">
        <v>3657</v>
      </c>
    </row>
    <row r="425" spans="1:15" x14ac:dyDescent="0.4">
      <c r="A425" s="1" t="s">
        <v>343</v>
      </c>
      <c r="B425" s="1" t="s">
        <v>332</v>
      </c>
      <c r="C425" s="1" t="s">
        <v>346</v>
      </c>
      <c r="D425" s="1" t="s">
        <v>333</v>
      </c>
      <c r="E425" s="1" t="s">
        <v>4675</v>
      </c>
      <c r="F425" s="1" t="s">
        <v>14</v>
      </c>
      <c r="G425" s="4" t="str">
        <f>"07603"</f>
        <v>07603</v>
      </c>
      <c r="H425" s="1">
        <v>31</v>
      </c>
      <c r="I425" s="1">
        <v>8.9</v>
      </c>
      <c r="J425" s="1">
        <v>0</v>
      </c>
      <c r="K425" s="1">
        <v>58</v>
      </c>
      <c r="L425" s="1" t="s">
        <v>26</v>
      </c>
      <c r="M425" s="1" t="s">
        <v>344</v>
      </c>
      <c r="N425" s="1" t="s">
        <v>12</v>
      </c>
      <c r="O425" s="1" t="s">
        <v>345</v>
      </c>
    </row>
    <row r="426" spans="1:15" x14ac:dyDescent="0.4">
      <c r="A426" s="1" t="s">
        <v>2364</v>
      </c>
      <c r="B426" s="1" t="s">
        <v>2350</v>
      </c>
      <c r="C426" s="1" t="s">
        <v>2367</v>
      </c>
      <c r="D426" s="1" t="s">
        <v>2351</v>
      </c>
      <c r="E426" s="1" t="s">
        <v>2239</v>
      </c>
      <c r="F426" s="1" t="s">
        <v>14</v>
      </c>
      <c r="G426" s="4" t="str">
        <f>"07002"</f>
        <v>07002</v>
      </c>
      <c r="H426" s="1">
        <v>60</v>
      </c>
      <c r="I426" s="1">
        <v>12.1</v>
      </c>
      <c r="J426" s="1">
        <v>0</v>
      </c>
      <c r="K426" s="1">
        <v>55</v>
      </c>
      <c r="L426" s="1" t="s">
        <v>718</v>
      </c>
      <c r="M426" s="1" t="s">
        <v>2365</v>
      </c>
      <c r="N426" s="1" t="s">
        <v>12</v>
      </c>
      <c r="O426" s="1" t="s">
        <v>2366</v>
      </c>
    </row>
    <row r="427" spans="1:15" x14ac:dyDescent="0.4">
      <c r="A427" s="1" t="s">
        <v>4599</v>
      </c>
      <c r="B427" s="1" t="s">
        <v>4595</v>
      </c>
      <c r="C427" s="1" t="s">
        <v>4601</v>
      </c>
      <c r="D427" s="1" t="s">
        <v>4593</v>
      </c>
      <c r="E427" s="1" t="s">
        <v>4594</v>
      </c>
      <c r="F427" s="1" t="s">
        <v>14</v>
      </c>
      <c r="G427" s="4" t="str">
        <f>"07090"</f>
        <v>07090</v>
      </c>
      <c r="H427" s="1">
        <v>23</v>
      </c>
      <c r="I427" s="1">
        <v>8.6</v>
      </c>
      <c r="J427" s="1">
        <v>172</v>
      </c>
      <c r="K427" s="1">
        <v>12</v>
      </c>
      <c r="L427" s="1" t="s">
        <v>1202</v>
      </c>
      <c r="M427" s="1" t="s">
        <v>740</v>
      </c>
      <c r="N427" s="1" t="s">
        <v>12</v>
      </c>
      <c r="O427" s="1" t="s">
        <v>4600</v>
      </c>
    </row>
    <row r="428" spans="1:15" x14ac:dyDescent="0.4">
      <c r="A428" s="1" t="s">
        <v>324</v>
      </c>
      <c r="B428" s="1" t="s">
        <v>308</v>
      </c>
      <c r="C428" s="1" t="s">
        <v>327</v>
      </c>
      <c r="D428" s="1" t="s">
        <v>309</v>
      </c>
      <c r="E428" s="1" t="s">
        <v>4675</v>
      </c>
      <c r="F428" s="1" t="s">
        <v>14</v>
      </c>
      <c r="G428" s="4" t="str">
        <f>"07621"</f>
        <v>07621</v>
      </c>
      <c r="H428" s="1">
        <v>75</v>
      </c>
      <c r="I428" s="1">
        <v>16.899999999999999</v>
      </c>
      <c r="J428" s="1">
        <v>0</v>
      </c>
      <c r="K428" s="1">
        <v>63</v>
      </c>
      <c r="L428" s="1" t="s">
        <v>34</v>
      </c>
      <c r="M428" s="1" t="s">
        <v>325</v>
      </c>
      <c r="N428" s="1" t="s">
        <v>12</v>
      </c>
      <c r="O428" s="1" t="s">
        <v>326</v>
      </c>
    </row>
    <row r="429" spans="1:15" x14ac:dyDescent="0.4">
      <c r="A429" s="1" t="s">
        <v>324</v>
      </c>
      <c r="B429" s="1" t="s">
        <v>385</v>
      </c>
      <c r="C429" s="1" t="s">
        <v>391</v>
      </c>
      <c r="D429" s="1" t="s">
        <v>386</v>
      </c>
      <c r="E429" s="1" t="s">
        <v>4675</v>
      </c>
      <c r="F429" s="1" t="s">
        <v>14</v>
      </c>
      <c r="G429" s="4" t="str">
        <f>"07628-2736"</f>
        <v>07628-2736</v>
      </c>
      <c r="H429" s="1">
        <v>75</v>
      </c>
      <c r="I429" s="1">
        <v>16.899999999999999</v>
      </c>
      <c r="J429" s="1">
        <v>0</v>
      </c>
      <c r="K429" s="1">
        <v>63</v>
      </c>
      <c r="L429" s="1" t="s">
        <v>389</v>
      </c>
      <c r="M429" s="1" t="s">
        <v>293</v>
      </c>
      <c r="N429" s="1" t="s">
        <v>12</v>
      </c>
      <c r="O429" s="1" t="s">
        <v>390</v>
      </c>
    </row>
    <row r="430" spans="1:15" x14ac:dyDescent="0.4">
      <c r="A430" s="1" t="s">
        <v>324</v>
      </c>
      <c r="B430" s="1" t="s">
        <v>567</v>
      </c>
      <c r="C430" s="1" t="s">
        <v>575</v>
      </c>
      <c r="D430" s="1" t="s">
        <v>572</v>
      </c>
      <c r="E430" s="1" t="s">
        <v>4675</v>
      </c>
      <c r="F430" s="1" t="s">
        <v>14</v>
      </c>
      <c r="G430" s="4" t="str">
        <f>"07604"</f>
        <v>07604</v>
      </c>
      <c r="H430" s="1">
        <v>75</v>
      </c>
      <c r="I430" s="1">
        <v>16.899999999999999</v>
      </c>
      <c r="J430" s="1">
        <v>0</v>
      </c>
      <c r="K430" s="1">
        <v>63</v>
      </c>
      <c r="L430" s="1" t="s">
        <v>77</v>
      </c>
      <c r="M430" s="1" t="s">
        <v>573</v>
      </c>
      <c r="N430" s="1" t="s">
        <v>12</v>
      </c>
      <c r="O430" s="1" t="s">
        <v>574</v>
      </c>
    </row>
    <row r="431" spans="1:15" x14ac:dyDescent="0.4">
      <c r="A431" s="1" t="s">
        <v>324</v>
      </c>
      <c r="B431" s="1" t="s">
        <v>802</v>
      </c>
      <c r="C431" s="1" t="s">
        <v>808</v>
      </c>
      <c r="D431" s="1" t="s">
        <v>803</v>
      </c>
      <c r="E431" s="1" t="s">
        <v>4675</v>
      </c>
      <c r="F431" s="1" t="s">
        <v>14</v>
      </c>
      <c r="G431" s="4" t="str">
        <f>"07660"</f>
        <v>07660</v>
      </c>
      <c r="H431" s="1">
        <v>75</v>
      </c>
      <c r="I431" s="1">
        <v>16.899999999999999</v>
      </c>
      <c r="J431" s="1">
        <v>0</v>
      </c>
      <c r="K431" s="1">
        <v>63</v>
      </c>
      <c r="L431" s="1" t="s">
        <v>805</v>
      </c>
      <c r="M431" s="1" t="s">
        <v>806</v>
      </c>
      <c r="N431" s="1" t="s">
        <v>12</v>
      </c>
      <c r="O431" s="1" t="s">
        <v>807</v>
      </c>
    </row>
    <row r="432" spans="1:15" x14ac:dyDescent="0.4">
      <c r="A432" s="1" t="s">
        <v>324</v>
      </c>
      <c r="B432" s="1" t="s">
        <v>1802</v>
      </c>
      <c r="C432" s="1" t="s">
        <v>1813</v>
      </c>
      <c r="D432" s="1" t="s">
        <v>1803</v>
      </c>
      <c r="E432" s="1" t="s">
        <v>4675</v>
      </c>
      <c r="F432" s="1" t="s">
        <v>14</v>
      </c>
      <c r="G432" s="4" t="str">
        <f>"07006"</f>
        <v>07006</v>
      </c>
      <c r="H432" s="1">
        <v>75</v>
      </c>
      <c r="I432" s="1">
        <v>16.899999999999999</v>
      </c>
      <c r="J432" s="1">
        <v>0</v>
      </c>
      <c r="K432" s="1">
        <v>63</v>
      </c>
      <c r="L432" s="1" t="s">
        <v>741</v>
      </c>
      <c r="M432" s="1" t="s">
        <v>1811</v>
      </c>
      <c r="N432" s="1" t="s">
        <v>12</v>
      </c>
      <c r="O432" s="1" t="s">
        <v>1812</v>
      </c>
    </row>
    <row r="433" spans="1:15" x14ac:dyDescent="0.4">
      <c r="A433" s="1" t="s">
        <v>324</v>
      </c>
      <c r="B433" s="1" t="s">
        <v>1952</v>
      </c>
      <c r="C433" s="1" t="s">
        <v>2040</v>
      </c>
      <c r="D433" s="1" t="s">
        <v>1610</v>
      </c>
      <c r="E433" s="1" t="s">
        <v>4675</v>
      </c>
      <c r="F433" s="1" t="s">
        <v>14</v>
      </c>
      <c r="G433" s="4" t="str">
        <f>"07106-2419"</f>
        <v>07106-2419</v>
      </c>
      <c r="H433" s="1">
        <v>75</v>
      </c>
      <c r="I433" s="1">
        <v>16.899999999999999</v>
      </c>
      <c r="J433" s="1">
        <v>0</v>
      </c>
      <c r="K433" s="1">
        <v>63</v>
      </c>
      <c r="L433" s="1" t="s">
        <v>877</v>
      </c>
      <c r="M433" s="1" t="s">
        <v>2038</v>
      </c>
      <c r="N433" s="1" t="s">
        <v>12</v>
      </c>
      <c r="O433" s="1" t="s">
        <v>2039</v>
      </c>
    </row>
    <row r="434" spans="1:15" x14ac:dyDescent="0.4">
      <c r="A434" s="1" t="s">
        <v>324</v>
      </c>
      <c r="B434" s="1" t="s">
        <v>2396</v>
      </c>
      <c r="C434" s="1" t="s">
        <v>2410</v>
      </c>
      <c r="D434" s="1" t="s">
        <v>2397</v>
      </c>
      <c r="E434" s="1" t="s">
        <v>4675</v>
      </c>
      <c r="F434" s="1" t="s">
        <v>14</v>
      </c>
      <c r="G434" s="4" t="str">
        <f>"07029-2613"</f>
        <v>07029-2613</v>
      </c>
      <c r="H434" s="1">
        <v>75</v>
      </c>
      <c r="I434" s="1">
        <v>16.899999999999999</v>
      </c>
      <c r="J434" s="1">
        <v>0</v>
      </c>
      <c r="K434" s="1">
        <v>63</v>
      </c>
      <c r="L434" s="1" t="s">
        <v>364</v>
      </c>
      <c r="M434" s="1" t="s">
        <v>2408</v>
      </c>
      <c r="N434" s="1" t="s">
        <v>12</v>
      </c>
      <c r="O434" s="1" t="s">
        <v>2409</v>
      </c>
    </row>
    <row r="435" spans="1:15" x14ac:dyDescent="0.4">
      <c r="A435" s="1" t="s">
        <v>324</v>
      </c>
      <c r="B435" s="1" t="s">
        <v>2536</v>
      </c>
      <c r="C435" s="1" t="s">
        <v>2549</v>
      </c>
      <c r="D435" s="1" t="s">
        <v>2542</v>
      </c>
      <c r="E435" s="1" t="s">
        <v>4675</v>
      </c>
      <c r="F435" s="1" t="s">
        <v>14</v>
      </c>
      <c r="G435" s="4" t="str">
        <f>"07047-3408"</f>
        <v>07047-3408</v>
      </c>
      <c r="H435" s="1">
        <v>75</v>
      </c>
      <c r="I435" s="1">
        <v>16.899999999999999</v>
      </c>
      <c r="J435" s="1">
        <v>0</v>
      </c>
      <c r="K435" s="1">
        <v>63</v>
      </c>
      <c r="L435" s="1" t="s">
        <v>2546</v>
      </c>
      <c r="M435" s="1" t="s">
        <v>2547</v>
      </c>
      <c r="N435" s="1" t="s">
        <v>12</v>
      </c>
      <c r="O435" s="1" t="s">
        <v>2548</v>
      </c>
    </row>
    <row r="436" spans="1:15" x14ac:dyDescent="0.4">
      <c r="A436" s="1" t="s">
        <v>324</v>
      </c>
      <c r="B436" s="1" t="s">
        <v>2902</v>
      </c>
      <c r="C436" s="1" t="s">
        <v>2918</v>
      </c>
      <c r="D436" s="1" t="s">
        <v>2906</v>
      </c>
      <c r="E436" s="1" t="s">
        <v>4675</v>
      </c>
      <c r="F436" s="1" t="s">
        <v>14</v>
      </c>
      <c r="G436" s="4" t="str">
        <f>"08817"</f>
        <v>08817</v>
      </c>
      <c r="H436" s="1">
        <v>75</v>
      </c>
      <c r="I436" s="1">
        <v>16.899999999999999</v>
      </c>
      <c r="J436" s="1">
        <v>0</v>
      </c>
      <c r="K436" s="1">
        <v>63</v>
      </c>
      <c r="L436" s="1" t="s">
        <v>1094</v>
      </c>
      <c r="M436" s="1" t="s">
        <v>2916</v>
      </c>
      <c r="N436" s="1" t="s">
        <v>12</v>
      </c>
      <c r="O436" s="1" t="s">
        <v>2917</v>
      </c>
    </row>
    <row r="437" spans="1:15" x14ac:dyDescent="0.4">
      <c r="A437" s="1" t="s">
        <v>324</v>
      </c>
      <c r="B437" s="1" t="s">
        <v>2978</v>
      </c>
      <c r="C437" s="1" t="s">
        <v>2984</v>
      </c>
      <c r="D437" s="1" t="s">
        <v>1619</v>
      </c>
      <c r="E437" s="1" t="s">
        <v>4675</v>
      </c>
      <c r="F437" s="1" t="s">
        <v>14</v>
      </c>
      <c r="G437" s="4" t="str">
        <f>"08901-1152"</f>
        <v>08901-1152</v>
      </c>
      <c r="H437" s="1">
        <v>75</v>
      </c>
      <c r="I437" s="1">
        <v>16.899999999999999</v>
      </c>
      <c r="J437" s="1">
        <v>0</v>
      </c>
      <c r="K437" s="1">
        <v>63</v>
      </c>
      <c r="L437" s="1" t="s">
        <v>321</v>
      </c>
      <c r="M437" s="1" t="s">
        <v>2982</v>
      </c>
      <c r="N437" s="1" t="s">
        <v>12</v>
      </c>
      <c r="O437" s="1" t="s">
        <v>2983</v>
      </c>
    </row>
    <row r="438" spans="1:15" x14ac:dyDescent="0.4">
      <c r="A438" s="1" t="s">
        <v>324</v>
      </c>
      <c r="B438" s="1" t="s">
        <v>3602</v>
      </c>
      <c r="C438" s="1" t="s">
        <v>3605</v>
      </c>
      <c r="D438" s="1" t="s">
        <v>3541</v>
      </c>
      <c r="E438" s="1" t="s">
        <v>4675</v>
      </c>
      <c r="F438" s="1" t="s">
        <v>14</v>
      </c>
      <c r="G438" s="4" t="str">
        <f>"07866-3921"</f>
        <v>07866-3921</v>
      </c>
      <c r="H438" s="1">
        <v>75</v>
      </c>
      <c r="I438" s="1">
        <v>16.899999999999999</v>
      </c>
      <c r="J438" s="1">
        <v>0</v>
      </c>
      <c r="K438" s="1">
        <v>63</v>
      </c>
      <c r="L438" s="1" t="s">
        <v>40</v>
      </c>
      <c r="M438" s="1" t="s">
        <v>3603</v>
      </c>
      <c r="N438" s="1" t="s">
        <v>12</v>
      </c>
      <c r="O438" s="1" t="s">
        <v>3604</v>
      </c>
    </row>
    <row r="439" spans="1:15" x14ac:dyDescent="0.4">
      <c r="A439" s="1" t="s">
        <v>3504</v>
      </c>
      <c r="B439" s="1" t="s">
        <v>3503</v>
      </c>
      <c r="C439" s="1" t="s">
        <v>3507</v>
      </c>
      <c r="D439" s="1" t="s">
        <v>3508</v>
      </c>
      <c r="E439" s="1" t="s">
        <v>1033</v>
      </c>
      <c r="F439" s="1" t="s">
        <v>14</v>
      </c>
      <c r="G439" s="4" t="str">
        <f>"07035"</f>
        <v>07035</v>
      </c>
      <c r="H439" s="1">
        <v>18</v>
      </c>
      <c r="I439" s="1">
        <v>3.6</v>
      </c>
      <c r="J439" s="1">
        <v>0</v>
      </c>
      <c r="K439" s="1">
        <v>82</v>
      </c>
      <c r="L439" s="1" t="s">
        <v>199</v>
      </c>
      <c r="M439" s="1" t="s">
        <v>3505</v>
      </c>
      <c r="N439" s="1" t="s">
        <v>12</v>
      </c>
      <c r="O439" s="1" t="s">
        <v>3506</v>
      </c>
    </row>
    <row r="440" spans="1:15" x14ac:dyDescent="0.4">
      <c r="A440" s="1" t="s">
        <v>452</v>
      </c>
      <c r="B440" s="1" t="s">
        <v>449</v>
      </c>
      <c r="C440" s="1" t="s">
        <v>455</v>
      </c>
      <c r="D440" s="1" t="s">
        <v>451</v>
      </c>
      <c r="E440" s="1" t="s">
        <v>4675</v>
      </c>
      <c r="F440" s="1" t="s">
        <v>14</v>
      </c>
      <c r="G440" s="4" t="str">
        <f>"07022"</f>
        <v>07022</v>
      </c>
      <c r="H440" s="1">
        <v>87</v>
      </c>
      <c r="I440" s="1">
        <v>37.5</v>
      </c>
      <c r="J440" s="1">
        <v>0</v>
      </c>
      <c r="K440" s="1">
        <v>145</v>
      </c>
      <c r="L440" s="1" t="s">
        <v>383</v>
      </c>
      <c r="M440" s="1" t="s">
        <v>453</v>
      </c>
      <c r="N440" s="1" t="s">
        <v>12</v>
      </c>
      <c r="O440" s="1" t="s">
        <v>454</v>
      </c>
    </row>
    <row r="441" spans="1:15" x14ac:dyDescent="0.4">
      <c r="A441" s="1" t="s">
        <v>1398</v>
      </c>
      <c r="B441" s="1" t="s">
        <v>1396</v>
      </c>
      <c r="C441" s="1" t="s">
        <v>1401</v>
      </c>
      <c r="D441" s="1" t="s">
        <v>1397</v>
      </c>
      <c r="E441" s="1" t="s">
        <v>1271</v>
      </c>
      <c r="F441" s="1" t="s">
        <v>14</v>
      </c>
      <c r="G441" s="4" t="str">
        <f>"08021"</f>
        <v>08021</v>
      </c>
      <c r="H441" s="1">
        <v>161</v>
      </c>
      <c r="I441" s="1">
        <v>100</v>
      </c>
      <c r="J441" s="1">
        <v>0</v>
      </c>
      <c r="K441" s="1">
        <v>0</v>
      </c>
      <c r="L441" s="1" t="s">
        <v>524</v>
      </c>
      <c r="M441" s="1" t="s">
        <v>1399</v>
      </c>
      <c r="N441" s="1" t="s">
        <v>12</v>
      </c>
      <c r="O441" s="1" t="s">
        <v>1400</v>
      </c>
    </row>
    <row r="442" spans="1:15" x14ac:dyDescent="0.4">
      <c r="A442" s="1" t="s">
        <v>3910</v>
      </c>
      <c r="B442" s="1" t="s">
        <v>3908</v>
      </c>
      <c r="C442" s="1" t="s">
        <v>3913</v>
      </c>
      <c r="D442" s="1" t="s">
        <v>3909</v>
      </c>
      <c r="E442" s="1" t="s">
        <v>1651</v>
      </c>
      <c r="F442" s="1" t="s">
        <v>14</v>
      </c>
      <c r="G442" s="4" t="str">
        <f>"07424-1082"</f>
        <v>07424-1082</v>
      </c>
      <c r="H442" s="1">
        <v>7</v>
      </c>
      <c r="I442" s="1">
        <v>2</v>
      </c>
      <c r="J442" s="1">
        <v>0</v>
      </c>
      <c r="K442" s="1">
        <v>102</v>
      </c>
      <c r="L442" s="1" t="s">
        <v>358</v>
      </c>
      <c r="M442" s="1" t="s">
        <v>3911</v>
      </c>
      <c r="N442" s="1" t="s">
        <v>12</v>
      </c>
      <c r="O442" s="1" t="s">
        <v>3912</v>
      </c>
    </row>
    <row r="443" spans="1:15" x14ac:dyDescent="0.4">
      <c r="A443" s="1" t="s">
        <v>4581</v>
      </c>
      <c r="B443" s="1" t="s">
        <v>4564</v>
      </c>
      <c r="C443" s="1" t="s">
        <v>4584</v>
      </c>
      <c r="D443" s="1" t="s">
        <v>1599</v>
      </c>
      <c r="E443" s="1" t="s">
        <v>4594</v>
      </c>
      <c r="F443" s="1" t="s">
        <v>14</v>
      </c>
      <c r="G443" s="4" t="str">
        <f>"07083"</f>
        <v>07083</v>
      </c>
      <c r="H443" s="1">
        <v>39</v>
      </c>
      <c r="I443" s="1">
        <v>8</v>
      </c>
      <c r="J443" s="1">
        <v>0</v>
      </c>
      <c r="K443" s="1">
        <v>86</v>
      </c>
      <c r="L443" s="1" t="s">
        <v>1073</v>
      </c>
      <c r="M443" s="1" t="s">
        <v>4582</v>
      </c>
      <c r="N443" s="1" t="s">
        <v>12</v>
      </c>
      <c r="O443" s="1" t="s">
        <v>4583</v>
      </c>
    </row>
    <row r="444" spans="1:15" x14ac:dyDescent="0.4">
      <c r="A444" s="1" t="s">
        <v>3015</v>
      </c>
      <c r="B444" s="1" t="s">
        <v>3006</v>
      </c>
      <c r="C444" s="1" t="s">
        <v>3019</v>
      </c>
      <c r="D444" s="1" t="s">
        <v>3010</v>
      </c>
      <c r="E444" s="1" t="s">
        <v>2962</v>
      </c>
      <c r="F444" s="1" t="s">
        <v>14</v>
      </c>
      <c r="G444" s="4" t="str">
        <f>"08902"</f>
        <v>08902</v>
      </c>
      <c r="H444" s="1">
        <v>52</v>
      </c>
      <c r="I444" s="1">
        <v>10.5</v>
      </c>
      <c r="J444" s="1">
        <v>0</v>
      </c>
      <c r="K444" s="1">
        <v>97</v>
      </c>
      <c r="L444" s="1" t="s">
        <v>3016</v>
      </c>
      <c r="M444" s="1" t="s">
        <v>3017</v>
      </c>
      <c r="N444" s="1" t="s">
        <v>12</v>
      </c>
      <c r="O444" s="1" t="s">
        <v>3018</v>
      </c>
    </row>
    <row r="445" spans="1:15" x14ac:dyDescent="0.4">
      <c r="A445" s="1" t="s">
        <v>2985</v>
      </c>
      <c r="B445" s="1" t="s">
        <v>2978</v>
      </c>
      <c r="C445" s="1" t="s">
        <v>2988</v>
      </c>
      <c r="D445" s="1" t="s">
        <v>1619</v>
      </c>
      <c r="E445" s="1" t="s">
        <v>2962</v>
      </c>
      <c r="F445" s="1" t="s">
        <v>14</v>
      </c>
      <c r="G445" s="4" t="str">
        <f>"08901-1343"</f>
        <v>08901-1343</v>
      </c>
      <c r="H445" s="1">
        <v>6</v>
      </c>
      <c r="I445" s="1">
        <v>1.4</v>
      </c>
      <c r="J445" s="1">
        <v>0</v>
      </c>
      <c r="K445" s="1">
        <v>69</v>
      </c>
      <c r="L445" s="1" t="s">
        <v>10</v>
      </c>
      <c r="M445" s="1" t="s">
        <v>2986</v>
      </c>
      <c r="N445" s="1" t="s">
        <v>12</v>
      </c>
      <c r="O445" s="1" t="s">
        <v>2987</v>
      </c>
    </row>
    <row r="446" spans="1:15" x14ac:dyDescent="0.4">
      <c r="A446" s="1" t="s">
        <v>2041</v>
      </c>
      <c r="B446" s="1" t="s">
        <v>1952</v>
      </c>
      <c r="C446" s="1" t="s">
        <v>2045</v>
      </c>
      <c r="D446" s="1" t="s">
        <v>1610</v>
      </c>
      <c r="E446" s="1" t="s">
        <v>4681</v>
      </c>
      <c r="F446" s="1" t="s">
        <v>14</v>
      </c>
      <c r="G446" s="4" t="str">
        <f>"07108-2914"</f>
        <v>07108-2914</v>
      </c>
      <c r="H446" s="1">
        <v>83</v>
      </c>
      <c r="I446" s="1">
        <v>10.7</v>
      </c>
      <c r="J446" s="1">
        <v>0</v>
      </c>
      <c r="K446" s="1">
        <v>74</v>
      </c>
      <c r="L446" s="1" t="s">
        <v>2042</v>
      </c>
      <c r="M446" s="1" t="s">
        <v>2043</v>
      </c>
      <c r="N446" s="1" t="s">
        <v>12</v>
      </c>
      <c r="O446" s="1" t="s">
        <v>2044</v>
      </c>
    </row>
    <row r="447" spans="1:15" x14ac:dyDescent="0.4">
      <c r="A447" s="1" t="s">
        <v>4101</v>
      </c>
      <c r="B447" s="1" t="s">
        <v>4100</v>
      </c>
      <c r="C447" s="1" t="s">
        <v>4104</v>
      </c>
      <c r="D447" s="1" t="s">
        <v>1608</v>
      </c>
      <c r="E447" s="1" t="s">
        <v>4686</v>
      </c>
      <c r="F447" s="1" t="s">
        <v>14</v>
      </c>
      <c r="G447" s="4" t="str">
        <f>"08079"</f>
        <v>08079</v>
      </c>
      <c r="H447" s="1">
        <v>28</v>
      </c>
      <c r="I447" s="1">
        <v>15.3</v>
      </c>
      <c r="J447" s="1">
        <v>0</v>
      </c>
      <c r="K447" s="1">
        <v>18</v>
      </c>
      <c r="L447" s="1" t="s">
        <v>176</v>
      </c>
      <c r="M447" s="1" t="s">
        <v>4102</v>
      </c>
      <c r="N447" s="1" t="s">
        <v>105</v>
      </c>
      <c r="O447" s="1" t="s">
        <v>4103</v>
      </c>
    </row>
    <row r="448" spans="1:15" x14ac:dyDescent="0.4">
      <c r="A448" s="1" t="s">
        <v>3718</v>
      </c>
      <c r="B448" s="1" t="s">
        <v>3700</v>
      </c>
      <c r="C448" s="1" t="s">
        <v>3721</v>
      </c>
      <c r="D448" s="1" t="s">
        <v>939</v>
      </c>
      <c r="E448" s="1" t="s">
        <v>4685</v>
      </c>
      <c r="F448" s="1" t="s">
        <v>14</v>
      </c>
      <c r="G448" s="4" t="str">
        <f>"08527-3497"</f>
        <v>08527-3497</v>
      </c>
      <c r="H448" s="1">
        <v>84</v>
      </c>
      <c r="I448" s="1">
        <v>15.4</v>
      </c>
      <c r="J448" s="1">
        <v>0</v>
      </c>
      <c r="K448" s="1">
        <v>71</v>
      </c>
      <c r="L448" s="1" t="s">
        <v>503</v>
      </c>
      <c r="M448" s="1" t="s">
        <v>3719</v>
      </c>
      <c r="N448" s="1" t="s">
        <v>12</v>
      </c>
      <c r="O448" s="1" t="s">
        <v>3720</v>
      </c>
    </row>
    <row r="449" spans="1:15" x14ac:dyDescent="0.4">
      <c r="A449" s="1" t="s">
        <v>2046</v>
      </c>
      <c r="B449" s="1" t="s">
        <v>1952</v>
      </c>
      <c r="C449" s="1" t="s">
        <v>2049</v>
      </c>
      <c r="D449" s="1" t="s">
        <v>1389</v>
      </c>
      <c r="E449" s="1" t="s">
        <v>4681</v>
      </c>
      <c r="F449" s="1" t="s">
        <v>14</v>
      </c>
      <c r="G449" s="4" t="str">
        <f>"07104"</f>
        <v>07104</v>
      </c>
      <c r="H449" s="1">
        <v>127</v>
      </c>
      <c r="I449" s="1">
        <v>15.5</v>
      </c>
      <c r="J449" s="1">
        <v>0</v>
      </c>
      <c r="K449" s="1">
        <v>92</v>
      </c>
      <c r="L449" s="1" t="s">
        <v>174</v>
      </c>
      <c r="M449" s="1" t="s">
        <v>2047</v>
      </c>
      <c r="N449" s="1" t="s">
        <v>12</v>
      </c>
      <c r="O449" s="1" t="s">
        <v>2048</v>
      </c>
    </row>
    <row r="450" spans="1:15" x14ac:dyDescent="0.4">
      <c r="A450" s="1" t="s">
        <v>3148</v>
      </c>
      <c r="B450" s="1" t="s">
        <v>3135</v>
      </c>
      <c r="C450" s="1" t="s">
        <v>3150</v>
      </c>
      <c r="D450" s="1" t="s">
        <v>3137</v>
      </c>
      <c r="E450" s="1" t="s">
        <v>2962</v>
      </c>
      <c r="F450" s="1" t="s">
        <v>14</v>
      </c>
      <c r="G450" s="4" t="str">
        <f>"07067"</f>
        <v>07067</v>
      </c>
      <c r="H450" s="1">
        <v>14</v>
      </c>
      <c r="I450" s="1">
        <v>4.7</v>
      </c>
      <c r="J450" s="1">
        <v>0</v>
      </c>
      <c r="K450" s="1">
        <v>41</v>
      </c>
      <c r="L450" s="1" t="s">
        <v>989</v>
      </c>
      <c r="M450" s="1" t="s">
        <v>387</v>
      </c>
      <c r="N450" s="1" t="s">
        <v>12</v>
      </c>
      <c r="O450" s="1" t="s">
        <v>3149</v>
      </c>
    </row>
    <row r="451" spans="1:15" x14ac:dyDescent="0.4">
      <c r="A451" s="1" t="s">
        <v>4406</v>
      </c>
      <c r="B451" s="1" t="s">
        <v>4361</v>
      </c>
      <c r="C451" s="1" t="s">
        <v>4410</v>
      </c>
      <c r="D451" s="1" t="s">
        <v>2423</v>
      </c>
      <c r="E451" s="1" t="s">
        <v>4594</v>
      </c>
      <c r="F451" s="1" t="s">
        <v>14</v>
      </c>
      <c r="G451" s="4" t="str">
        <f>"07202"</f>
        <v>07202</v>
      </c>
      <c r="H451" s="1">
        <v>166</v>
      </c>
      <c r="I451" s="1">
        <v>21.6</v>
      </c>
      <c r="J451" s="1">
        <v>0</v>
      </c>
      <c r="K451" s="1">
        <v>65</v>
      </c>
      <c r="L451" s="1" t="s">
        <v>4407</v>
      </c>
      <c r="M451" s="1" t="s">
        <v>4408</v>
      </c>
      <c r="N451" s="1" t="s">
        <v>12</v>
      </c>
      <c r="O451" s="1" t="s">
        <v>4409</v>
      </c>
    </row>
    <row r="452" spans="1:15" x14ac:dyDescent="0.4">
      <c r="A452" s="1" t="s">
        <v>4164</v>
      </c>
      <c r="B452" s="1" t="s">
        <v>4148</v>
      </c>
      <c r="C452" s="1" t="s">
        <v>4166</v>
      </c>
      <c r="D452" s="1" t="s">
        <v>1597</v>
      </c>
      <c r="E452" s="1" t="s">
        <v>1597</v>
      </c>
      <c r="F452" s="1" t="s">
        <v>14</v>
      </c>
      <c r="G452" s="4" t="str">
        <f>"08873-2949"</f>
        <v>08873-2949</v>
      </c>
      <c r="H452" s="1">
        <v>27</v>
      </c>
      <c r="I452" s="1">
        <v>6.7</v>
      </c>
      <c r="J452" s="1">
        <v>0</v>
      </c>
      <c r="K452" s="1">
        <v>62</v>
      </c>
      <c r="L452" s="1" t="s">
        <v>87</v>
      </c>
      <c r="M452" s="1" t="s">
        <v>652</v>
      </c>
      <c r="N452" s="1" t="s">
        <v>12</v>
      </c>
      <c r="O452" s="1" t="s">
        <v>4165</v>
      </c>
    </row>
    <row r="453" spans="1:15" x14ac:dyDescent="0.4">
      <c r="A453" s="1" t="s">
        <v>1909</v>
      </c>
      <c r="B453" s="1" t="s">
        <v>1897</v>
      </c>
      <c r="C453" s="1" t="s">
        <v>1913</v>
      </c>
      <c r="D453" s="1" t="s">
        <v>1593</v>
      </c>
      <c r="E453" s="1" t="s">
        <v>4681</v>
      </c>
      <c r="F453" s="1" t="s">
        <v>14</v>
      </c>
      <c r="G453" s="4" t="str">
        <f>"07111"</f>
        <v>07111</v>
      </c>
      <c r="H453" s="1">
        <v>117</v>
      </c>
      <c r="I453" s="1">
        <v>22.3</v>
      </c>
      <c r="J453" s="1">
        <v>0</v>
      </c>
      <c r="K453" s="1">
        <v>66</v>
      </c>
      <c r="L453" s="1" t="s">
        <v>1910</v>
      </c>
      <c r="M453" s="1" t="s">
        <v>1911</v>
      </c>
      <c r="N453" s="1" t="s">
        <v>12</v>
      </c>
      <c r="O453" s="1" t="s">
        <v>1912</v>
      </c>
    </row>
    <row r="454" spans="1:15" x14ac:dyDescent="0.4">
      <c r="A454" s="1" t="s">
        <v>4508</v>
      </c>
      <c r="B454" s="1" t="s">
        <v>4500</v>
      </c>
      <c r="C454" s="1" t="s">
        <v>4510</v>
      </c>
      <c r="D454" s="1" t="s">
        <v>4504</v>
      </c>
      <c r="E454" s="1" t="s">
        <v>4594</v>
      </c>
      <c r="F454" s="1" t="s">
        <v>14</v>
      </c>
      <c r="G454" s="4" t="str">
        <f>"07065"</f>
        <v>07065</v>
      </c>
      <c r="H454" s="1">
        <v>23</v>
      </c>
      <c r="I454" s="1">
        <v>6</v>
      </c>
      <c r="J454" s="1">
        <v>0</v>
      </c>
      <c r="K454" s="1">
        <v>43</v>
      </c>
      <c r="L454" s="1" t="s">
        <v>4494</v>
      </c>
      <c r="M454" s="1" t="s">
        <v>1399</v>
      </c>
      <c r="N454" s="1" t="s">
        <v>12</v>
      </c>
      <c r="O454" s="1" t="s">
        <v>4509</v>
      </c>
    </row>
    <row r="455" spans="1:15" x14ac:dyDescent="0.4">
      <c r="A455" s="1" t="s">
        <v>4411</v>
      </c>
      <c r="B455" s="1" t="s">
        <v>4361</v>
      </c>
      <c r="C455" s="1" t="s">
        <v>4414</v>
      </c>
      <c r="D455" s="1" t="s">
        <v>2423</v>
      </c>
      <c r="E455" s="1" t="s">
        <v>4594</v>
      </c>
      <c r="F455" s="1" t="s">
        <v>14</v>
      </c>
      <c r="G455" s="4" t="str">
        <f>"07201-1612"</f>
        <v>07201-1612</v>
      </c>
      <c r="H455" s="1">
        <v>138</v>
      </c>
      <c r="I455" s="1">
        <v>21.4</v>
      </c>
      <c r="J455" s="1">
        <v>0</v>
      </c>
      <c r="K455" s="1">
        <v>79</v>
      </c>
      <c r="L455" s="1" t="s">
        <v>457</v>
      </c>
      <c r="M455" s="1" t="s">
        <v>4412</v>
      </c>
      <c r="N455" s="1" t="s">
        <v>12</v>
      </c>
      <c r="O455" s="1" t="s">
        <v>4413</v>
      </c>
    </row>
    <row r="456" spans="1:15" x14ac:dyDescent="0.4">
      <c r="A456" s="1" t="s">
        <v>1403</v>
      </c>
      <c r="B456" s="1" t="s">
        <v>1402</v>
      </c>
      <c r="C456" s="1" t="s">
        <v>1406</v>
      </c>
      <c r="D456" s="1" t="s">
        <v>1407</v>
      </c>
      <c r="E456" s="1" t="s">
        <v>1271</v>
      </c>
      <c r="F456" s="1" t="s">
        <v>14</v>
      </c>
      <c r="G456" s="4" t="str">
        <f>"08049-1320"</f>
        <v>08049-1320</v>
      </c>
      <c r="H456" s="1">
        <v>46</v>
      </c>
      <c r="I456" s="1">
        <v>11.6</v>
      </c>
      <c r="J456" s="1">
        <v>0</v>
      </c>
      <c r="K456" s="1">
        <v>38</v>
      </c>
      <c r="L456" s="1" t="s">
        <v>439</v>
      </c>
      <c r="M456" s="1" t="s">
        <v>1404</v>
      </c>
      <c r="N456" s="1" t="s">
        <v>12</v>
      </c>
      <c r="O456" s="1" t="s">
        <v>1405</v>
      </c>
    </row>
    <row r="457" spans="1:15" x14ac:dyDescent="0.4">
      <c r="A457" s="1" t="s">
        <v>3396</v>
      </c>
      <c r="B457" s="1" t="s">
        <v>3395</v>
      </c>
      <c r="C457" s="1" t="s">
        <v>3398</v>
      </c>
      <c r="D457" s="1" t="s">
        <v>3344</v>
      </c>
      <c r="E457" s="1" t="s">
        <v>4684</v>
      </c>
      <c r="F457" s="1" t="s">
        <v>14</v>
      </c>
      <c r="G457" s="4" t="str">
        <f>"07724-3199"</f>
        <v>07724-3199</v>
      </c>
      <c r="H457" s="1">
        <v>61</v>
      </c>
      <c r="I457" s="1">
        <v>12.6</v>
      </c>
      <c r="J457" s="1">
        <v>0</v>
      </c>
      <c r="K457" s="1">
        <v>136</v>
      </c>
      <c r="L457" s="1" t="s">
        <v>1658</v>
      </c>
      <c r="M457" s="1" t="s">
        <v>3234</v>
      </c>
      <c r="N457" s="1" t="s">
        <v>12</v>
      </c>
      <c r="O457" s="1" t="s">
        <v>3397</v>
      </c>
    </row>
    <row r="458" spans="1:15" x14ac:dyDescent="0.4">
      <c r="A458" s="1" t="s">
        <v>2476</v>
      </c>
      <c r="B458" s="1" t="s">
        <v>2416</v>
      </c>
      <c r="C458" s="1" t="s">
        <v>2479</v>
      </c>
      <c r="D458" s="1" t="s">
        <v>1624</v>
      </c>
      <c r="E458" s="1" t="s">
        <v>2239</v>
      </c>
      <c r="F458" s="1" t="s">
        <v>14</v>
      </c>
      <c r="G458" s="4" t="str">
        <f>"07306-5218"</f>
        <v>07306-5218</v>
      </c>
      <c r="H458" s="1">
        <v>172</v>
      </c>
      <c r="I458" s="1">
        <v>21</v>
      </c>
      <c r="J458" s="1">
        <v>0</v>
      </c>
      <c r="K458" s="1">
        <v>83</v>
      </c>
      <c r="L458" s="1" t="s">
        <v>399</v>
      </c>
      <c r="M458" s="1" t="s">
        <v>2477</v>
      </c>
      <c r="N458" s="1" t="s">
        <v>12</v>
      </c>
      <c r="O458" s="1" t="s">
        <v>2478</v>
      </c>
    </row>
    <row r="459" spans="1:15" x14ac:dyDescent="0.4">
      <c r="A459" s="1" t="s">
        <v>3281</v>
      </c>
      <c r="B459" s="1" t="s">
        <v>3280</v>
      </c>
      <c r="C459" s="1" t="s">
        <v>3284</v>
      </c>
      <c r="D459" s="1" t="s">
        <v>3285</v>
      </c>
      <c r="E459" s="1" t="s">
        <v>4684</v>
      </c>
      <c r="F459" s="1" t="s">
        <v>14</v>
      </c>
      <c r="G459" s="4" t="str">
        <f>"08736-2892"</f>
        <v>08736-2892</v>
      </c>
      <c r="H459" s="1">
        <v>41</v>
      </c>
      <c r="I459" s="1">
        <v>8.6</v>
      </c>
      <c r="J459" s="1">
        <v>0</v>
      </c>
      <c r="K459" s="1">
        <v>42</v>
      </c>
      <c r="L459" s="1" t="s">
        <v>968</v>
      </c>
      <c r="M459" s="1" t="s">
        <v>3282</v>
      </c>
      <c r="N459" s="1" t="s">
        <v>12</v>
      </c>
      <c r="O459" s="1" t="s">
        <v>3283</v>
      </c>
    </row>
    <row r="460" spans="1:15" x14ac:dyDescent="0.4">
      <c r="A460" s="1" t="s">
        <v>3764</v>
      </c>
      <c r="B460" s="1" t="s">
        <v>3763</v>
      </c>
      <c r="C460" s="1" t="s">
        <v>3767</v>
      </c>
      <c r="D460" s="1" t="s">
        <v>3768</v>
      </c>
      <c r="E460" s="1" t="s">
        <v>4685</v>
      </c>
      <c r="F460" s="1" t="s">
        <v>14</v>
      </c>
      <c r="G460" s="4" t="str">
        <f>"08527-9105"</f>
        <v>08527-9105</v>
      </c>
      <c r="H460" s="1">
        <v>10</v>
      </c>
      <c r="I460" s="1">
        <v>17.899999999999999</v>
      </c>
      <c r="J460" s="1">
        <v>0</v>
      </c>
      <c r="K460" s="1">
        <v>2</v>
      </c>
      <c r="L460" s="1" t="s">
        <v>165</v>
      </c>
      <c r="M460" s="1" t="s">
        <v>3765</v>
      </c>
      <c r="N460" s="1" t="s">
        <v>12</v>
      </c>
      <c r="O460" s="1" t="s">
        <v>3766</v>
      </c>
    </row>
    <row r="461" spans="1:15" x14ac:dyDescent="0.4">
      <c r="A461" s="1" t="s">
        <v>3769</v>
      </c>
      <c r="B461" s="1" t="s">
        <v>3763</v>
      </c>
      <c r="C461" s="1" t="s">
        <v>3772</v>
      </c>
      <c r="D461" s="1" t="s">
        <v>3773</v>
      </c>
      <c r="E461" s="1" t="s">
        <v>4685</v>
      </c>
      <c r="F461" s="1" t="s">
        <v>14</v>
      </c>
      <c r="G461" s="4" t="str">
        <f>"08733"</f>
        <v>08733</v>
      </c>
      <c r="H461" s="1">
        <v>62</v>
      </c>
      <c r="I461" s="1">
        <v>10.8</v>
      </c>
      <c r="J461" s="1">
        <v>0</v>
      </c>
      <c r="K461" s="1">
        <v>74</v>
      </c>
      <c r="L461" s="1" t="s">
        <v>2849</v>
      </c>
      <c r="M461" s="1" t="s">
        <v>3770</v>
      </c>
      <c r="N461" s="1" t="s">
        <v>12</v>
      </c>
      <c r="O461" s="1" t="s">
        <v>3771</v>
      </c>
    </row>
    <row r="462" spans="1:15" x14ac:dyDescent="0.4">
      <c r="A462" s="1" t="s">
        <v>4053</v>
      </c>
      <c r="B462" s="1" t="s">
        <v>4052</v>
      </c>
      <c r="C462" s="1" t="s">
        <v>4055</v>
      </c>
      <c r="D462" s="1" t="s">
        <v>1608</v>
      </c>
      <c r="E462" s="1" t="s">
        <v>4686</v>
      </c>
      <c r="F462" s="1" t="s">
        <v>14</v>
      </c>
      <c r="G462" s="4" t="str">
        <f>"08079-9801"</f>
        <v>08079-9801</v>
      </c>
      <c r="H462" s="1">
        <v>30</v>
      </c>
      <c r="I462" s="1">
        <v>17.600000000000001</v>
      </c>
      <c r="J462" s="1">
        <v>0</v>
      </c>
      <c r="K462" s="1">
        <v>14</v>
      </c>
      <c r="L462" s="1" t="s">
        <v>289</v>
      </c>
      <c r="M462" s="1" t="s">
        <v>43</v>
      </c>
      <c r="N462" s="1" t="s">
        <v>134</v>
      </c>
      <c r="O462" s="1" t="s">
        <v>4054</v>
      </c>
    </row>
    <row r="463" spans="1:15" x14ac:dyDescent="0.4">
      <c r="A463" s="1" t="s">
        <v>4639</v>
      </c>
      <c r="B463" s="1" t="s">
        <v>4638</v>
      </c>
      <c r="C463" s="1" t="s">
        <v>4643</v>
      </c>
      <c r="D463" s="1" t="s">
        <v>4644</v>
      </c>
      <c r="E463" s="1" t="s">
        <v>76</v>
      </c>
      <c r="F463" s="1" t="s">
        <v>14</v>
      </c>
      <c r="G463" s="4" t="str">
        <f>"07865-9702"</f>
        <v>07865-9702</v>
      </c>
      <c r="H463" s="1">
        <v>28</v>
      </c>
      <c r="I463" s="1">
        <v>4.9000000000000004</v>
      </c>
      <c r="J463" s="1">
        <v>0</v>
      </c>
      <c r="K463" s="1">
        <v>70</v>
      </c>
      <c r="L463" s="1" t="s">
        <v>4640</v>
      </c>
      <c r="M463" s="1" t="s">
        <v>4641</v>
      </c>
      <c r="N463" s="1" t="s">
        <v>12</v>
      </c>
      <c r="O463" s="1" t="s">
        <v>4642</v>
      </c>
    </row>
    <row r="464" spans="1:15" x14ac:dyDescent="0.4">
      <c r="A464" s="1" t="s">
        <v>4033</v>
      </c>
      <c r="B464" s="1" t="s">
        <v>4031</v>
      </c>
      <c r="C464" s="1" t="s">
        <v>4035</v>
      </c>
      <c r="D464" s="1" t="s">
        <v>4032</v>
      </c>
      <c r="E464" s="1" t="s">
        <v>1651</v>
      </c>
      <c r="F464" s="1" t="s">
        <v>14</v>
      </c>
      <c r="G464" s="4" t="str">
        <f>"07480-2706"</f>
        <v>07480-2706</v>
      </c>
      <c r="H464" s="1">
        <v>8</v>
      </c>
      <c r="I464" s="1">
        <v>2.6</v>
      </c>
      <c r="J464" s="1">
        <v>0</v>
      </c>
      <c r="K464" s="1">
        <v>46</v>
      </c>
      <c r="L464" s="1" t="s">
        <v>317</v>
      </c>
      <c r="M464" s="1" t="s">
        <v>1014</v>
      </c>
      <c r="N464" s="1" t="s">
        <v>12</v>
      </c>
      <c r="O464" s="1" t="s">
        <v>4034</v>
      </c>
    </row>
    <row r="465" spans="1:15" x14ac:dyDescent="0.4">
      <c r="A465" s="1" t="s">
        <v>2302</v>
      </c>
      <c r="B465" s="1" t="s">
        <v>2301</v>
      </c>
      <c r="C465" s="1" t="s">
        <v>2305</v>
      </c>
      <c r="D465" s="1" t="s">
        <v>2306</v>
      </c>
      <c r="E465" s="1" t="s">
        <v>4677</v>
      </c>
      <c r="F465" s="1" t="s">
        <v>14</v>
      </c>
      <c r="G465" s="4" t="str">
        <f>"08085"</f>
        <v>08085</v>
      </c>
      <c r="H465" s="1">
        <v>2</v>
      </c>
      <c r="I465" s="1">
        <v>0.8</v>
      </c>
      <c r="J465" s="1">
        <v>0</v>
      </c>
      <c r="K465" s="1">
        <v>211</v>
      </c>
      <c r="L465" s="1" t="s">
        <v>853</v>
      </c>
      <c r="M465" s="1" t="s">
        <v>2303</v>
      </c>
      <c r="N465" s="1" t="s">
        <v>12</v>
      </c>
      <c r="O465" s="1" t="s">
        <v>2304</v>
      </c>
    </row>
    <row r="466" spans="1:15" x14ac:dyDescent="0.4">
      <c r="A466" s="1" t="s">
        <v>3180</v>
      </c>
      <c r="B466" s="1" t="s">
        <v>3179</v>
      </c>
      <c r="C466" s="1" t="s">
        <v>3182</v>
      </c>
      <c r="D466" s="1" t="s">
        <v>3183</v>
      </c>
      <c r="E466" s="1" t="s">
        <v>4684</v>
      </c>
      <c r="F466" s="1" t="s">
        <v>14</v>
      </c>
      <c r="G466" s="4" t="str">
        <f>"07724-1399"</f>
        <v>07724-1399</v>
      </c>
      <c r="H466" s="1">
        <v>37</v>
      </c>
      <c r="I466" s="1">
        <v>15.7</v>
      </c>
      <c r="J466" s="1">
        <v>0</v>
      </c>
      <c r="K466" s="1">
        <v>0</v>
      </c>
      <c r="L466" s="1" t="s">
        <v>146</v>
      </c>
      <c r="M466" s="1" t="s">
        <v>1611</v>
      </c>
      <c r="N466" s="1" t="s">
        <v>12</v>
      </c>
      <c r="O466" s="1" t="s">
        <v>3181</v>
      </c>
    </row>
    <row r="467" spans="1:15" x14ac:dyDescent="0.4">
      <c r="A467" s="1" t="s">
        <v>1547</v>
      </c>
      <c r="B467" s="1" t="s">
        <v>1546</v>
      </c>
      <c r="C467" s="1" t="s">
        <v>1551</v>
      </c>
      <c r="D467" s="1" t="s">
        <v>1552</v>
      </c>
      <c r="E467" s="1" t="s">
        <v>4678</v>
      </c>
      <c r="F467" s="1" t="s">
        <v>14</v>
      </c>
      <c r="G467" s="4" t="str">
        <f>"08260"</f>
        <v>08260</v>
      </c>
      <c r="H467" s="1">
        <v>14</v>
      </c>
      <c r="I467" s="1">
        <v>8.8000000000000007</v>
      </c>
      <c r="J467" s="1">
        <v>0</v>
      </c>
      <c r="K467" s="1">
        <v>7</v>
      </c>
      <c r="L467" s="1" t="s">
        <v>1548</v>
      </c>
      <c r="M467" s="1" t="s">
        <v>1549</v>
      </c>
      <c r="N467" s="1" t="s">
        <v>105</v>
      </c>
      <c r="O467" s="1" t="s">
        <v>1550</v>
      </c>
    </row>
    <row r="468" spans="1:15" x14ac:dyDescent="0.4">
      <c r="A468" s="1" t="s">
        <v>4276</v>
      </c>
      <c r="B468" s="1" t="s">
        <v>4275</v>
      </c>
      <c r="C468" s="1" t="s">
        <v>4279</v>
      </c>
      <c r="D468" s="1" t="s">
        <v>4245</v>
      </c>
      <c r="E468" s="1" t="s">
        <v>4687</v>
      </c>
      <c r="F468" s="1" t="s">
        <v>14</v>
      </c>
      <c r="G468" s="4" t="str">
        <f>"07860"</f>
        <v>07860</v>
      </c>
      <c r="H468" s="1">
        <v>27</v>
      </c>
      <c r="I468" s="1">
        <v>8.4</v>
      </c>
      <c r="J468" s="1">
        <v>0</v>
      </c>
      <c r="K468" s="1">
        <v>30</v>
      </c>
      <c r="L468" s="1" t="s">
        <v>1964</v>
      </c>
      <c r="M468" s="1" t="s">
        <v>4277</v>
      </c>
      <c r="N468" s="1" t="s">
        <v>12</v>
      </c>
      <c r="O468" s="1" t="s">
        <v>4278</v>
      </c>
    </row>
    <row r="469" spans="1:15" x14ac:dyDescent="0.4">
      <c r="A469" s="1" t="s">
        <v>2804</v>
      </c>
      <c r="B469" s="1" t="s">
        <v>2803</v>
      </c>
      <c r="C469" s="1" t="s">
        <v>2807</v>
      </c>
      <c r="D469" s="1" t="s">
        <v>1586</v>
      </c>
      <c r="E469" s="1" t="s">
        <v>4683</v>
      </c>
      <c r="F469" s="1" t="s">
        <v>14</v>
      </c>
      <c r="G469" s="4" t="str">
        <f>"08628"</f>
        <v>08628</v>
      </c>
      <c r="H469" s="1">
        <v>2</v>
      </c>
      <c r="I469" s="1">
        <v>3.7</v>
      </c>
      <c r="J469" s="1">
        <v>0</v>
      </c>
      <c r="K469" s="1">
        <v>3</v>
      </c>
      <c r="L469" s="1" t="s">
        <v>1818</v>
      </c>
      <c r="M469" s="1" t="s">
        <v>2805</v>
      </c>
      <c r="N469" s="1" t="s">
        <v>12</v>
      </c>
      <c r="O469" s="1" t="s">
        <v>2806</v>
      </c>
    </row>
    <row r="470" spans="1:15" x14ac:dyDescent="0.4">
      <c r="A470" s="1" t="s">
        <v>3649</v>
      </c>
      <c r="B470" s="1" t="s">
        <v>3646</v>
      </c>
      <c r="C470" s="1" t="s">
        <v>3647</v>
      </c>
      <c r="D470" s="1" t="s">
        <v>3648</v>
      </c>
      <c r="E470" s="1" t="s">
        <v>1033</v>
      </c>
      <c r="F470" s="1" t="s">
        <v>14</v>
      </c>
      <c r="G470" s="4" t="str">
        <f>"07885-2431"</f>
        <v>07885-2431</v>
      </c>
      <c r="H470" s="1">
        <v>8</v>
      </c>
      <c r="I470" s="1">
        <v>1.8</v>
      </c>
      <c r="J470" s="1">
        <v>0</v>
      </c>
      <c r="K470" s="1">
        <v>57</v>
      </c>
      <c r="L470" s="1" t="s">
        <v>3650</v>
      </c>
      <c r="M470" s="1" t="s">
        <v>3651</v>
      </c>
      <c r="N470" s="1" t="s">
        <v>12</v>
      </c>
      <c r="O470" s="1" t="s">
        <v>3652</v>
      </c>
    </row>
    <row r="471" spans="1:15" x14ac:dyDescent="0.4">
      <c r="A471" s="1" t="s">
        <v>3924</v>
      </c>
      <c r="B471" s="1" t="s">
        <v>3919</v>
      </c>
      <c r="C471" s="1" t="s">
        <v>3927</v>
      </c>
      <c r="D471" s="1" t="s">
        <v>1651</v>
      </c>
      <c r="E471" s="1" t="s">
        <v>1651</v>
      </c>
      <c r="F471" s="1" t="s">
        <v>14</v>
      </c>
      <c r="G471" s="4" t="str">
        <f>"07055-4502"</f>
        <v>07055-4502</v>
      </c>
      <c r="H471" s="1">
        <v>172</v>
      </c>
      <c r="I471" s="1">
        <v>22.2</v>
      </c>
      <c r="J471" s="1">
        <v>0</v>
      </c>
      <c r="K471" s="1">
        <v>86</v>
      </c>
      <c r="L471" s="1" t="s">
        <v>1372</v>
      </c>
      <c r="M471" s="1" t="s">
        <v>3925</v>
      </c>
      <c r="N471" s="1" t="s">
        <v>12</v>
      </c>
      <c r="O471" s="1" t="s">
        <v>3926</v>
      </c>
    </row>
    <row r="472" spans="1:15" x14ac:dyDescent="0.4">
      <c r="A472" s="1" t="s">
        <v>1638</v>
      </c>
      <c r="B472" s="1" t="s">
        <v>1638</v>
      </c>
      <c r="C472" s="1" t="s">
        <v>1641</v>
      </c>
      <c r="D472" s="1" t="s">
        <v>1610</v>
      </c>
      <c r="E472" s="1" t="s">
        <v>4679</v>
      </c>
      <c r="F472" s="1" t="s">
        <v>14</v>
      </c>
      <c r="G472" s="4" t="str">
        <f>"07103-2047"</f>
        <v>07103-2047</v>
      </c>
      <c r="H472" s="1">
        <v>101</v>
      </c>
      <c r="I472" s="1">
        <v>7.2</v>
      </c>
      <c r="J472" s="1">
        <v>0</v>
      </c>
      <c r="K472" s="1">
        <v>81</v>
      </c>
      <c r="L472" s="1" t="s">
        <v>146</v>
      </c>
      <c r="M472" s="1" t="s">
        <v>1639</v>
      </c>
      <c r="N472" s="1" t="s">
        <v>105</v>
      </c>
      <c r="O472" s="1" t="s">
        <v>1640</v>
      </c>
    </row>
    <row r="473" spans="1:15" x14ac:dyDescent="0.4">
      <c r="A473" s="1" t="s">
        <v>4216</v>
      </c>
      <c r="B473" s="1" t="s">
        <v>4213</v>
      </c>
      <c r="C473" s="1" t="s">
        <v>4215</v>
      </c>
      <c r="D473" s="1" t="s">
        <v>4214</v>
      </c>
      <c r="E473" s="1" t="s">
        <v>1597</v>
      </c>
      <c r="F473" s="1" t="s">
        <v>14</v>
      </c>
      <c r="G473" s="4" t="str">
        <f>"07924"</f>
        <v>07924</v>
      </c>
      <c r="H473" s="1">
        <v>23</v>
      </c>
      <c r="I473" s="1">
        <v>5.3</v>
      </c>
      <c r="J473" s="1">
        <v>0</v>
      </c>
      <c r="K473" s="1">
        <v>90</v>
      </c>
      <c r="L473" s="1" t="s">
        <v>2746</v>
      </c>
      <c r="M473" s="1" t="s">
        <v>1259</v>
      </c>
      <c r="N473" s="1" t="s">
        <v>12</v>
      </c>
      <c r="O473" s="1" t="s">
        <v>4217</v>
      </c>
    </row>
    <row r="474" spans="1:15" x14ac:dyDescent="0.4">
      <c r="A474" s="1" t="s">
        <v>3851</v>
      </c>
      <c r="B474" s="1" t="s">
        <v>3850</v>
      </c>
      <c r="C474" s="1" t="s">
        <v>3854</v>
      </c>
      <c r="D474" s="1" t="s">
        <v>3855</v>
      </c>
      <c r="E474" s="1" t="s">
        <v>1651</v>
      </c>
      <c r="F474" s="1" t="s">
        <v>14</v>
      </c>
      <c r="G474" s="4" t="str">
        <f>"07403"</f>
        <v>07403</v>
      </c>
      <c r="H474" s="1">
        <v>76</v>
      </c>
      <c r="I474" s="1">
        <v>36.700000000000003</v>
      </c>
      <c r="J474" s="1">
        <v>0</v>
      </c>
      <c r="K474" s="1">
        <v>76</v>
      </c>
      <c r="L474" s="1" t="s">
        <v>155</v>
      </c>
      <c r="M474" s="1" t="s">
        <v>3852</v>
      </c>
      <c r="N474" s="1" t="s">
        <v>12</v>
      </c>
      <c r="O474" s="1" t="s">
        <v>3853</v>
      </c>
    </row>
    <row r="475" spans="1:15" x14ac:dyDescent="0.4">
      <c r="A475" s="1" t="s">
        <v>1266</v>
      </c>
      <c r="B475" s="1" t="s">
        <v>1254</v>
      </c>
      <c r="C475" s="1" t="s">
        <v>1270</v>
      </c>
      <c r="D475" s="1" t="s">
        <v>1212</v>
      </c>
      <c r="E475" s="1" t="s">
        <v>1271</v>
      </c>
      <c r="F475" s="1" t="s">
        <v>14</v>
      </c>
      <c r="G475" s="4" t="str">
        <f>"08103"</f>
        <v>08103</v>
      </c>
      <c r="H475" s="1">
        <v>306</v>
      </c>
      <c r="I475" s="1">
        <v>100</v>
      </c>
      <c r="J475" s="1">
        <v>0</v>
      </c>
      <c r="K475" s="1">
        <v>0</v>
      </c>
      <c r="L475" s="1" t="s">
        <v>1267</v>
      </c>
      <c r="M475" s="1" t="s">
        <v>1268</v>
      </c>
      <c r="N475" s="1" t="s">
        <v>12</v>
      </c>
      <c r="O475" s="1" t="s">
        <v>1269</v>
      </c>
    </row>
    <row r="476" spans="1:15" x14ac:dyDescent="0.4">
      <c r="A476" s="1" t="s">
        <v>2480</v>
      </c>
      <c r="B476" s="1" t="s">
        <v>2416</v>
      </c>
      <c r="C476" s="1" t="s">
        <v>2483</v>
      </c>
      <c r="D476" s="1" t="s">
        <v>1624</v>
      </c>
      <c r="E476" s="1" t="s">
        <v>2239</v>
      </c>
      <c r="F476" s="1" t="s">
        <v>14</v>
      </c>
      <c r="G476" s="4" t="str">
        <f>"07305-4227"</f>
        <v>07305-4227</v>
      </c>
      <c r="H476" s="1">
        <v>43</v>
      </c>
      <c r="I476" s="1">
        <v>12</v>
      </c>
      <c r="J476" s="1">
        <v>0</v>
      </c>
      <c r="K476" s="1">
        <v>48</v>
      </c>
      <c r="L476" s="1" t="s">
        <v>303</v>
      </c>
      <c r="M476" s="1" t="s">
        <v>2481</v>
      </c>
      <c r="N476" s="1" t="s">
        <v>12</v>
      </c>
      <c r="O476" s="1" t="s">
        <v>2482</v>
      </c>
    </row>
    <row r="477" spans="1:15" x14ac:dyDescent="0.4">
      <c r="A477" s="1" t="s">
        <v>4709</v>
      </c>
      <c r="B477" s="1" t="s">
        <v>2416</v>
      </c>
      <c r="C477" s="1" t="s">
        <v>2487</v>
      </c>
      <c r="D477" s="1" t="s">
        <v>1624</v>
      </c>
      <c r="E477" s="1" t="s">
        <v>2239</v>
      </c>
      <c r="F477" s="1" t="s">
        <v>14</v>
      </c>
      <c r="G477" s="4" t="str">
        <f>"07306-4302"</f>
        <v>07306-4302</v>
      </c>
      <c r="H477" s="1">
        <v>60</v>
      </c>
      <c r="I477" s="1">
        <v>8</v>
      </c>
      <c r="J477" s="1">
        <v>0</v>
      </c>
      <c r="K477" s="1">
        <v>74</v>
      </c>
      <c r="L477" s="1" t="s">
        <v>2484</v>
      </c>
      <c r="M477" s="1" t="s">
        <v>2485</v>
      </c>
      <c r="N477" s="1" t="s">
        <v>12</v>
      </c>
      <c r="O477" s="1" t="s">
        <v>2486</v>
      </c>
    </row>
    <row r="478" spans="1:15" x14ac:dyDescent="0.4">
      <c r="A478" s="1" t="s">
        <v>4710</v>
      </c>
      <c r="B478" s="1" t="s">
        <v>3919</v>
      </c>
      <c r="C478" s="1" t="s">
        <v>3930</v>
      </c>
      <c r="D478" s="1" t="s">
        <v>1651</v>
      </c>
      <c r="E478" s="1" t="s">
        <v>1651</v>
      </c>
      <c r="F478" s="1" t="s">
        <v>14</v>
      </c>
      <c r="G478" s="4" t="str">
        <f>"07055-5215"</f>
        <v>07055-5215</v>
      </c>
      <c r="H478" s="1">
        <v>161</v>
      </c>
      <c r="I478" s="1">
        <v>21.4</v>
      </c>
      <c r="J478" s="1">
        <v>0</v>
      </c>
      <c r="K478" s="1">
        <v>68</v>
      </c>
      <c r="L478" s="1" t="s">
        <v>265</v>
      </c>
      <c r="M478" s="1" t="s">
        <v>3928</v>
      </c>
      <c r="N478" s="1" t="s">
        <v>12</v>
      </c>
      <c r="O478" s="1" t="s">
        <v>3929</v>
      </c>
    </row>
    <row r="479" spans="1:15" x14ac:dyDescent="0.4">
      <c r="A479" s="1" t="s">
        <v>793</v>
      </c>
      <c r="B479" s="1" t="s">
        <v>791</v>
      </c>
      <c r="C479" s="1" t="s">
        <v>797</v>
      </c>
      <c r="D479" s="1" t="s">
        <v>792</v>
      </c>
      <c r="E479" s="1" t="s">
        <v>4675</v>
      </c>
      <c r="F479" s="1" t="s">
        <v>14</v>
      </c>
      <c r="G479" s="4" t="str">
        <f>"07446-2202"</f>
        <v>07446-2202</v>
      </c>
      <c r="H479" s="1">
        <v>40</v>
      </c>
      <c r="I479" s="1">
        <v>12.1</v>
      </c>
      <c r="J479" s="1">
        <v>0</v>
      </c>
      <c r="K479" s="1">
        <v>72</v>
      </c>
      <c r="L479" s="1" t="s">
        <v>794</v>
      </c>
      <c r="M479" s="1" t="s">
        <v>795</v>
      </c>
      <c r="N479" s="1" t="s">
        <v>12</v>
      </c>
      <c r="O479" s="1" t="s">
        <v>796</v>
      </c>
    </row>
    <row r="480" spans="1:15" x14ac:dyDescent="0.4">
      <c r="A480" s="1" t="s">
        <v>1416</v>
      </c>
      <c r="B480" s="1" t="s">
        <v>1415</v>
      </c>
      <c r="C480" s="1" t="s">
        <v>1419</v>
      </c>
      <c r="D480" s="1" t="s">
        <v>1420</v>
      </c>
      <c r="E480" s="1" t="s">
        <v>1271</v>
      </c>
      <c r="F480" s="1" t="s">
        <v>14</v>
      </c>
      <c r="G480" s="4" t="str">
        <f>"08059-1803"</f>
        <v>08059-1803</v>
      </c>
      <c r="H480" s="1">
        <v>40</v>
      </c>
      <c r="I480" s="1">
        <v>13.8</v>
      </c>
      <c r="J480" s="1">
        <v>0</v>
      </c>
      <c r="K480" s="1">
        <v>38</v>
      </c>
      <c r="L480" s="1" t="s">
        <v>40</v>
      </c>
      <c r="M480" s="1" t="s">
        <v>1417</v>
      </c>
      <c r="N480" s="1" t="s">
        <v>12</v>
      </c>
      <c r="O480" s="1" t="s">
        <v>1418</v>
      </c>
    </row>
    <row r="481" spans="1:15" x14ac:dyDescent="0.4">
      <c r="A481" s="1" t="s">
        <v>1109</v>
      </c>
      <c r="B481" s="1" t="s">
        <v>1106</v>
      </c>
      <c r="C481" s="1" t="s">
        <v>1112</v>
      </c>
      <c r="D481" s="1" t="s">
        <v>1107</v>
      </c>
      <c r="E481" s="1" t="s">
        <v>4676</v>
      </c>
      <c r="F481" s="1" t="s">
        <v>14</v>
      </c>
      <c r="G481" s="4" t="str">
        <f>"08057"</f>
        <v>08057</v>
      </c>
      <c r="H481" s="1">
        <v>9</v>
      </c>
      <c r="I481" s="1">
        <v>2.7</v>
      </c>
      <c r="J481" s="1">
        <v>68</v>
      </c>
      <c r="K481" s="1">
        <v>1</v>
      </c>
      <c r="L481" s="1" t="s">
        <v>70</v>
      </c>
      <c r="M481" s="1" t="s">
        <v>1110</v>
      </c>
      <c r="N481" s="1" t="s">
        <v>12</v>
      </c>
      <c r="O481" s="1" t="s">
        <v>1111</v>
      </c>
    </row>
    <row r="482" spans="1:15" x14ac:dyDescent="0.4">
      <c r="A482" s="1" t="s">
        <v>1455</v>
      </c>
      <c r="B482" s="1" t="s">
        <v>1449</v>
      </c>
      <c r="C482" s="1" t="s">
        <v>1458</v>
      </c>
      <c r="D482" s="1" t="s">
        <v>1247</v>
      </c>
      <c r="E482" s="1" t="s">
        <v>1271</v>
      </c>
      <c r="F482" s="1" t="s">
        <v>14</v>
      </c>
      <c r="G482" s="4" t="str">
        <f>"08078"</f>
        <v>08078</v>
      </c>
      <c r="H482" s="1">
        <v>102</v>
      </c>
      <c r="I482" s="1">
        <v>20</v>
      </c>
      <c r="J482" s="1">
        <v>0</v>
      </c>
      <c r="K482" s="1">
        <v>0</v>
      </c>
      <c r="L482" s="1" t="s">
        <v>1334</v>
      </c>
      <c r="M482" s="1" t="s">
        <v>1456</v>
      </c>
      <c r="N482" s="1" t="s">
        <v>12</v>
      </c>
      <c r="O482" s="1" t="s">
        <v>1457</v>
      </c>
    </row>
    <row r="483" spans="1:15" x14ac:dyDescent="0.4">
      <c r="A483" s="1" t="s">
        <v>2368</v>
      </c>
      <c r="B483" s="1" t="s">
        <v>2350</v>
      </c>
      <c r="C483" s="1" t="s">
        <v>2371</v>
      </c>
      <c r="D483" s="1" t="s">
        <v>2351</v>
      </c>
      <c r="E483" s="1" t="s">
        <v>2239</v>
      </c>
      <c r="F483" s="1" t="s">
        <v>14</v>
      </c>
      <c r="G483" s="4" t="str">
        <f>"07002"</f>
        <v>07002</v>
      </c>
      <c r="H483" s="1">
        <v>49</v>
      </c>
      <c r="I483" s="1">
        <v>9.8000000000000007</v>
      </c>
      <c r="J483" s="1">
        <v>0</v>
      </c>
      <c r="K483" s="1">
        <v>44</v>
      </c>
      <c r="L483" s="1" t="s">
        <v>1548</v>
      </c>
      <c r="M483" s="1" t="s">
        <v>2369</v>
      </c>
      <c r="N483" s="1" t="s">
        <v>12</v>
      </c>
      <c r="O483" s="1" t="s">
        <v>2370</v>
      </c>
    </row>
    <row r="484" spans="1:15" x14ac:dyDescent="0.4">
      <c r="A484" s="1" t="s">
        <v>3152</v>
      </c>
      <c r="B484" s="1" t="s">
        <v>3135</v>
      </c>
      <c r="C484" s="1" t="s">
        <v>3154</v>
      </c>
      <c r="D484" s="1" t="s">
        <v>3155</v>
      </c>
      <c r="E484" s="1" t="s">
        <v>2962</v>
      </c>
      <c r="F484" s="1" t="s">
        <v>14</v>
      </c>
      <c r="G484" s="4" t="str">
        <f>"07077"</f>
        <v>07077</v>
      </c>
      <c r="H484" s="1">
        <v>62</v>
      </c>
      <c r="I484" s="1">
        <v>14.6</v>
      </c>
      <c r="J484" s="1">
        <v>0</v>
      </c>
      <c r="K484" s="1">
        <v>41</v>
      </c>
      <c r="L484" s="1" t="s">
        <v>47</v>
      </c>
      <c r="M484" s="1" t="s">
        <v>2444</v>
      </c>
      <c r="N484" s="1" t="s">
        <v>12</v>
      </c>
      <c r="O484" s="1" t="s">
        <v>3153</v>
      </c>
    </row>
    <row r="485" spans="1:15" x14ac:dyDescent="0.4">
      <c r="A485" s="1" t="s">
        <v>2850</v>
      </c>
      <c r="B485" s="1" t="s">
        <v>2846</v>
      </c>
      <c r="C485" s="1" t="s">
        <v>2852</v>
      </c>
      <c r="D485" s="1" t="s">
        <v>2848</v>
      </c>
      <c r="E485" s="1" t="s">
        <v>4683</v>
      </c>
      <c r="F485" s="1" t="s">
        <v>14</v>
      </c>
      <c r="G485" s="4" t="str">
        <f>"08550"</f>
        <v>08550</v>
      </c>
      <c r="H485" s="1">
        <v>6</v>
      </c>
      <c r="I485" s="1">
        <v>0.8</v>
      </c>
      <c r="J485" s="1">
        <v>0</v>
      </c>
      <c r="K485" s="1">
        <v>152</v>
      </c>
      <c r="L485" s="1" t="s">
        <v>693</v>
      </c>
      <c r="M485" s="1" t="s">
        <v>1204</v>
      </c>
      <c r="N485" s="1" t="s">
        <v>12</v>
      </c>
      <c r="O485" s="1" t="s">
        <v>2851</v>
      </c>
    </row>
    <row r="486" spans="1:15" x14ac:dyDescent="0.4">
      <c r="A486" s="1" t="s">
        <v>1732</v>
      </c>
      <c r="B486" s="1" t="s">
        <v>1731</v>
      </c>
      <c r="C486" s="1" t="s">
        <v>1735</v>
      </c>
      <c r="D486" s="1" t="s">
        <v>1736</v>
      </c>
      <c r="E486" s="1" t="s">
        <v>4680</v>
      </c>
      <c r="F486" s="1" t="s">
        <v>14</v>
      </c>
      <c r="G486" s="4" t="str">
        <f>"08348-0464"</f>
        <v>08348-0464</v>
      </c>
      <c r="H486" s="1">
        <v>45</v>
      </c>
      <c r="I486" s="1">
        <v>12.2</v>
      </c>
      <c r="J486" s="1">
        <v>0</v>
      </c>
      <c r="K486" s="1">
        <v>29</v>
      </c>
      <c r="L486" s="1" t="s">
        <v>95</v>
      </c>
      <c r="M486" s="1" t="s">
        <v>1733</v>
      </c>
      <c r="N486" s="1" t="s">
        <v>12</v>
      </c>
      <c r="O486" s="1" t="s">
        <v>1734</v>
      </c>
    </row>
    <row r="487" spans="1:15" x14ac:dyDescent="0.4">
      <c r="A487" s="1" t="s">
        <v>868</v>
      </c>
      <c r="B487" s="1" t="s">
        <v>866</v>
      </c>
      <c r="C487" s="1" t="s">
        <v>871</v>
      </c>
      <c r="D487" s="1" t="s">
        <v>655</v>
      </c>
      <c r="E487" s="1" t="s">
        <v>4675</v>
      </c>
      <c r="F487" s="1" t="s">
        <v>14</v>
      </c>
      <c r="G487" s="4" t="str">
        <f>"07607"</f>
        <v>07607</v>
      </c>
      <c r="H487" s="1">
        <v>75</v>
      </c>
      <c r="I487" s="1">
        <v>34.9</v>
      </c>
      <c r="J487" s="1">
        <v>0</v>
      </c>
      <c r="K487" s="1">
        <v>22</v>
      </c>
      <c r="L487" s="1" t="s">
        <v>462</v>
      </c>
      <c r="M487" s="1" t="s">
        <v>869</v>
      </c>
      <c r="N487" s="1" t="s">
        <v>12</v>
      </c>
      <c r="O487" s="1" t="s">
        <v>870</v>
      </c>
    </row>
    <row r="488" spans="1:15" x14ac:dyDescent="0.4">
      <c r="A488" s="1" t="s">
        <v>400</v>
      </c>
      <c r="B488" s="1" t="s">
        <v>397</v>
      </c>
      <c r="C488" s="1" t="s">
        <v>403</v>
      </c>
      <c r="D488" s="1" t="s">
        <v>353</v>
      </c>
      <c r="E488" s="1" t="s">
        <v>4675</v>
      </c>
      <c r="F488" s="1" t="s">
        <v>14</v>
      </c>
      <c r="G488" s="4" t="str">
        <f>"07073"</f>
        <v>07073</v>
      </c>
      <c r="H488" s="1">
        <v>32</v>
      </c>
      <c r="I488" s="1">
        <v>8.6999999999999993</v>
      </c>
      <c r="J488" s="1">
        <v>0</v>
      </c>
      <c r="K488" s="1">
        <v>86</v>
      </c>
      <c r="L488" s="1" t="s">
        <v>70</v>
      </c>
      <c r="M488" s="1" t="s">
        <v>401</v>
      </c>
      <c r="N488" s="1" t="s">
        <v>12</v>
      </c>
      <c r="O488" s="1" t="s">
        <v>402</v>
      </c>
    </row>
    <row r="489" spans="1:15" x14ac:dyDescent="0.4">
      <c r="A489" s="1" t="s">
        <v>2989</v>
      </c>
      <c r="B489" s="1" t="s">
        <v>2978</v>
      </c>
      <c r="C489" s="1" t="s">
        <v>2993</v>
      </c>
      <c r="D489" s="1" t="s">
        <v>1619</v>
      </c>
      <c r="E489" s="1" t="s">
        <v>2962</v>
      </c>
      <c r="F489" s="1" t="s">
        <v>14</v>
      </c>
      <c r="G489" s="4" t="str">
        <f>"08901-3255"</f>
        <v>08901-3255</v>
      </c>
      <c r="H489" s="1">
        <v>132</v>
      </c>
      <c r="I489" s="1">
        <v>25.2</v>
      </c>
      <c r="J489" s="1">
        <v>0</v>
      </c>
      <c r="K489" s="1">
        <v>31</v>
      </c>
      <c r="L489" s="1" t="s">
        <v>2990</v>
      </c>
      <c r="M489" s="1" t="s">
        <v>2991</v>
      </c>
      <c r="N489" s="1" t="s">
        <v>12</v>
      </c>
      <c r="O489" s="1" t="s">
        <v>2992</v>
      </c>
    </row>
    <row r="490" spans="1:15" x14ac:dyDescent="0.4">
      <c r="A490" s="1" t="s">
        <v>2050</v>
      </c>
      <c r="B490" s="1" t="s">
        <v>1952</v>
      </c>
      <c r="C490" s="1" t="s">
        <v>2053</v>
      </c>
      <c r="D490" s="1" t="s">
        <v>1610</v>
      </c>
      <c r="E490" s="1" t="s">
        <v>4681</v>
      </c>
      <c r="F490" s="1" t="s">
        <v>14</v>
      </c>
      <c r="G490" s="4" t="str">
        <f>"07104-1810"</f>
        <v>07104-1810</v>
      </c>
      <c r="H490" s="1">
        <v>125</v>
      </c>
      <c r="I490" s="1">
        <v>13.6</v>
      </c>
      <c r="J490" s="1">
        <v>0</v>
      </c>
      <c r="K490" s="1">
        <v>75</v>
      </c>
      <c r="L490" s="1" t="s">
        <v>1488</v>
      </c>
      <c r="M490" s="1" t="s">
        <v>2051</v>
      </c>
      <c r="N490" s="1" t="s">
        <v>867</v>
      </c>
      <c r="O490" s="1" t="s">
        <v>2052</v>
      </c>
    </row>
    <row r="491" spans="1:15" x14ac:dyDescent="0.4">
      <c r="A491" s="1" t="s">
        <v>2050</v>
      </c>
      <c r="B491" s="1" t="s">
        <v>2536</v>
      </c>
      <c r="C491" s="1" t="s">
        <v>2552</v>
      </c>
      <c r="D491" s="1" t="s">
        <v>2542</v>
      </c>
      <c r="E491" s="1" t="s">
        <v>4681</v>
      </c>
      <c r="F491" s="1" t="s">
        <v>14</v>
      </c>
      <c r="G491" s="4" t="str">
        <f>"07047-2319"</f>
        <v>07047-2319</v>
      </c>
      <c r="H491" s="1">
        <v>125</v>
      </c>
      <c r="I491" s="1">
        <v>13.6</v>
      </c>
      <c r="J491" s="1">
        <v>0</v>
      </c>
      <c r="K491" s="1">
        <v>75</v>
      </c>
      <c r="L491" s="1" t="s">
        <v>77</v>
      </c>
      <c r="M491" s="1" t="s">
        <v>2550</v>
      </c>
      <c r="N491" s="1" t="s">
        <v>12</v>
      </c>
      <c r="O491" s="1" t="s">
        <v>2551</v>
      </c>
    </row>
    <row r="492" spans="1:15" x14ac:dyDescent="0.4">
      <c r="A492" s="1" t="s">
        <v>2050</v>
      </c>
      <c r="B492" s="1" t="s">
        <v>4595</v>
      </c>
      <c r="C492" s="1" t="s">
        <v>4603</v>
      </c>
      <c r="D492" s="1" t="s">
        <v>4593</v>
      </c>
      <c r="E492" s="1" t="s">
        <v>4681</v>
      </c>
      <c r="F492" s="1" t="s">
        <v>14</v>
      </c>
      <c r="G492" s="4" t="str">
        <f>"07090-4123"</f>
        <v>07090-4123</v>
      </c>
      <c r="H492" s="1">
        <v>125</v>
      </c>
      <c r="I492" s="1">
        <v>13.6</v>
      </c>
      <c r="J492" s="1">
        <v>0</v>
      </c>
      <c r="K492" s="1">
        <v>75</v>
      </c>
      <c r="L492" s="1" t="s">
        <v>22</v>
      </c>
      <c r="M492" s="1" t="s">
        <v>3151</v>
      </c>
      <c r="N492" s="1" t="s">
        <v>12</v>
      </c>
      <c r="O492" s="1" t="s">
        <v>4602</v>
      </c>
    </row>
    <row r="493" spans="1:15" x14ac:dyDescent="0.4">
      <c r="A493" s="1" t="s">
        <v>584</v>
      </c>
      <c r="B493" s="1" t="s">
        <v>582</v>
      </c>
      <c r="C493" s="1" t="s">
        <v>587</v>
      </c>
      <c r="D493" s="1" t="s">
        <v>583</v>
      </c>
      <c r="E493" s="1" t="s">
        <v>4675</v>
      </c>
      <c r="F493" s="1" t="s">
        <v>14</v>
      </c>
      <c r="G493" s="4" t="str">
        <f>"07642"</f>
        <v>07642</v>
      </c>
      <c r="H493" s="1">
        <v>11</v>
      </c>
      <c r="I493" s="1">
        <v>3.5</v>
      </c>
      <c r="J493" s="1">
        <v>0</v>
      </c>
      <c r="K493" s="1">
        <v>55</v>
      </c>
      <c r="L493" s="1" t="s">
        <v>335</v>
      </c>
      <c r="M493" s="1" t="s">
        <v>585</v>
      </c>
      <c r="N493" s="1" t="s">
        <v>12</v>
      </c>
      <c r="O493" s="1" t="s">
        <v>586</v>
      </c>
    </row>
    <row r="494" spans="1:15" x14ac:dyDescent="0.4">
      <c r="A494" s="1" t="s">
        <v>584</v>
      </c>
      <c r="B494" s="1" t="s">
        <v>3179</v>
      </c>
      <c r="C494" s="1" t="s">
        <v>3186</v>
      </c>
      <c r="D494" s="1" t="s">
        <v>3183</v>
      </c>
      <c r="E494" s="1" t="s">
        <v>4675</v>
      </c>
      <c r="F494" s="1" t="s">
        <v>14</v>
      </c>
      <c r="G494" s="4" t="str">
        <f>"07724-1736"</f>
        <v>07724-1736</v>
      </c>
      <c r="H494" s="1">
        <v>11</v>
      </c>
      <c r="I494" s="1">
        <v>3.5</v>
      </c>
      <c r="J494" s="1">
        <v>0</v>
      </c>
      <c r="K494" s="1">
        <v>55</v>
      </c>
      <c r="L494" s="1" t="s">
        <v>1202</v>
      </c>
      <c r="M494" s="1" t="s">
        <v>3184</v>
      </c>
      <c r="N494" s="1" t="s">
        <v>12</v>
      </c>
      <c r="O494" s="1" t="s">
        <v>3185</v>
      </c>
    </row>
    <row r="495" spans="1:15" x14ac:dyDescent="0.4">
      <c r="A495" s="1" t="s">
        <v>1093</v>
      </c>
      <c r="B495" s="1" t="s">
        <v>1079</v>
      </c>
      <c r="C495" s="1" t="s">
        <v>1096</v>
      </c>
      <c r="D495" s="1" t="s">
        <v>1054</v>
      </c>
      <c r="E495" s="1" t="s">
        <v>4676</v>
      </c>
      <c r="F495" s="1" t="s">
        <v>14</v>
      </c>
      <c r="G495" s="4" t="str">
        <f>"08055"</f>
        <v>08055</v>
      </c>
      <c r="H495" s="1">
        <v>60</v>
      </c>
      <c r="I495" s="1">
        <v>9.3000000000000007</v>
      </c>
      <c r="J495" s="1">
        <v>0</v>
      </c>
      <c r="K495" s="1">
        <v>0</v>
      </c>
      <c r="L495" s="1" t="s">
        <v>1094</v>
      </c>
      <c r="M495" s="1" t="s">
        <v>56</v>
      </c>
      <c r="N495" s="1" t="s">
        <v>12</v>
      </c>
      <c r="O495" s="1" t="s">
        <v>1095</v>
      </c>
    </row>
    <row r="496" spans="1:15" x14ac:dyDescent="0.4">
      <c r="A496" s="1" t="s">
        <v>671</v>
      </c>
      <c r="B496" s="1" t="s">
        <v>668</v>
      </c>
      <c r="C496" s="1" t="s">
        <v>674</v>
      </c>
      <c r="D496" s="1" t="s">
        <v>669</v>
      </c>
      <c r="E496" s="1" t="s">
        <v>4675</v>
      </c>
      <c r="F496" s="1" t="s">
        <v>14</v>
      </c>
      <c r="G496" s="4" t="str">
        <f>"07645"</f>
        <v>07645</v>
      </c>
      <c r="H496" s="1">
        <v>10</v>
      </c>
      <c r="I496" s="1">
        <v>1.9</v>
      </c>
      <c r="J496" s="1">
        <v>0</v>
      </c>
      <c r="K496" s="1">
        <v>81</v>
      </c>
      <c r="L496" s="1" t="s">
        <v>284</v>
      </c>
      <c r="M496" s="1" t="s">
        <v>672</v>
      </c>
      <c r="N496" s="1" t="s">
        <v>12</v>
      </c>
      <c r="O496" s="1" t="s">
        <v>673</v>
      </c>
    </row>
    <row r="497" spans="1:15" x14ac:dyDescent="0.4">
      <c r="A497" s="1" t="s">
        <v>671</v>
      </c>
      <c r="B497" s="1" t="s">
        <v>762</v>
      </c>
      <c r="C497" s="1" t="s">
        <v>766</v>
      </c>
      <c r="D497" s="1" t="s">
        <v>300</v>
      </c>
      <c r="E497" s="1" t="s">
        <v>4675</v>
      </c>
      <c r="F497" s="1" t="s">
        <v>14</v>
      </c>
      <c r="G497" s="4" t="str">
        <f>"07652"</f>
        <v>07652</v>
      </c>
      <c r="H497" s="1">
        <v>10</v>
      </c>
      <c r="I497" s="1">
        <v>1.9</v>
      </c>
      <c r="J497" s="1">
        <v>0</v>
      </c>
      <c r="K497" s="1">
        <v>81</v>
      </c>
      <c r="L497" s="1" t="s">
        <v>763</v>
      </c>
      <c r="M497" s="1" t="s">
        <v>764</v>
      </c>
      <c r="N497" s="1" t="s">
        <v>12</v>
      </c>
      <c r="O497" s="1" t="s">
        <v>765</v>
      </c>
    </row>
    <row r="498" spans="1:15" x14ac:dyDescent="0.4">
      <c r="A498" s="1" t="s">
        <v>671</v>
      </c>
      <c r="B498" s="1" t="s">
        <v>2290</v>
      </c>
      <c r="C498" s="1" t="s">
        <v>2293</v>
      </c>
      <c r="D498" s="1" t="s">
        <v>2294</v>
      </c>
      <c r="E498" s="1" t="s">
        <v>4675</v>
      </c>
      <c r="F498" s="1" t="s">
        <v>14</v>
      </c>
      <c r="G498" s="4" t="str">
        <f>"08071-1014"</f>
        <v>08071-1014</v>
      </c>
      <c r="H498" s="1">
        <v>10</v>
      </c>
      <c r="I498" s="1">
        <v>1.9</v>
      </c>
      <c r="J498" s="1">
        <v>0</v>
      </c>
      <c r="K498" s="1">
        <v>81</v>
      </c>
      <c r="L498" s="1" t="s">
        <v>1804</v>
      </c>
      <c r="M498" s="1" t="s">
        <v>2291</v>
      </c>
      <c r="N498" s="1" t="s">
        <v>12</v>
      </c>
      <c r="O498" s="1" t="s">
        <v>2292</v>
      </c>
    </row>
    <row r="499" spans="1:15" x14ac:dyDescent="0.4">
      <c r="A499" s="1" t="s">
        <v>671</v>
      </c>
      <c r="B499" s="1" t="s">
        <v>2883</v>
      </c>
      <c r="C499" s="1" t="s">
        <v>2901</v>
      </c>
      <c r="D499" s="1" t="s">
        <v>2888</v>
      </c>
      <c r="E499" s="1" t="s">
        <v>4675</v>
      </c>
      <c r="F499" s="1" t="s">
        <v>14</v>
      </c>
      <c r="G499" s="4" t="str">
        <f>"08816"</f>
        <v>08816</v>
      </c>
      <c r="H499" s="1">
        <v>10</v>
      </c>
      <c r="I499" s="1">
        <v>1.9</v>
      </c>
      <c r="J499" s="1">
        <v>0</v>
      </c>
      <c r="K499" s="1">
        <v>81</v>
      </c>
      <c r="L499" s="1" t="s">
        <v>388</v>
      </c>
      <c r="M499" s="1" t="s">
        <v>206</v>
      </c>
      <c r="N499" s="1" t="s">
        <v>12</v>
      </c>
      <c r="O499" s="1" t="s">
        <v>2900</v>
      </c>
    </row>
    <row r="500" spans="1:15" x14ac:dyDescent="0.4">
      <c r="A500" s="1" t="s">
        <v>671</v>
      </c>
      <c r="B500" s="1" t="s">
        <v>3028</v>
      </c>
      <c r="C500" s="1" t="s">
        <v>3032</v>
      </c>
      <c r="D500" s="1" t="s">
        <v>3033</v>
      </c>
      <c r="E500" s="1" t="s">
        <v>4675</v>
      </c>
      <c r="F500" s="1" t="s">
        <v>14</v>
      </c>
      <c r="G500" s="4" t="str">
        <f>"08879"</f>
        <v>08879</v>
      </c>
      <c r="H500" s="1">
        <v>10</v>
      </c>
      <c r="I500" s="1">
        <v>1.9</v>
      </c>
      <c r="J500" s="1">
        <v>0</v>
      </c>
      <c r="K500" s="1">
        <v>81</v>
      </c>
      <c r="L500" s="1" t="s">
        <v>770</v>
      </c>
      <c r="M500" s="1" t="s">
        <v>3030</v>
      </c>
      <c r="N500" s="1" t="s">
        <v>12</v>
      </c>
      <c r="O500" s="1" t="s">
        <v>3031</v>
      </c>
    </row>
    <row r="501" spans="1:15" x14ac:dyDescent="0.4">
      <c r="A501" s="1" t="s">
        <v>671</v>
      </c>
      <c r="B501" s="1" t="s">
        <v>3228</v>
      </c>
      <c r="C501" s="1" t="s">
        <v>3237</v>
      </c>
      <c r="D501" s="1" t="s">
        <v>3199</v>
      </c>
      <c r="E501" s="1" t="s">
        <v>4675</v>
      </c>
      <c r="F501" s="1" t="s">
        <v>14</v>
      </c>
      <c r="G501" s="4" t="str">
        <f>"07728"</f>
        <v>07728</v>
      </c>
      <c r="H501" s="1">
        <v>10</v>
      </c>
      <c r="I501" s="1">
        <v>1.9</v>
      </c>
      <c r="J501" s="1">
        <v>0</v>
      </c>
      <c r="K501" s="1">
        <v>81</v>
      </c>
      <c r="L501" s="1" t="s">
        <v>770</v>
      </c>
      <c r="M501" s="1" t="s">
        <v>3235</v>
      </c>
      <c r="N501" s="1" t="s">
        <v>12</v>
      </c>
      <c r="O501" s="1" t="s">
        <v>3236</v>
      </c>
    </row>
    <row r="502" spans="1:15" x14ac:dyDescent="0.4">
      <c r="A502" s="1" t="s">
        <v>671</v>
      </c>
      <c r="B502" s="1" t="s">
        <v>3914</v>
      </c>
      <c r="C502" s="1" t="s">
        <v>3918</v>
      </c>
      <c r="D502" s="1" t="s">
        <v>3915</v>
      </c>
      <c r="E502" s="1" t="s">
        <v>4675</v>
      </c>
      <c r="F502" s="1" t="s">
        <v>14</v>
      </c>
      <c r="G502" s="4" t="str">
        <f>"07508-2720"</f>
        <v>07508-2720</v>
      </c>
      <c r="H502" s="1">
        <v>10</v>
      </c>
      <c r="I502" s="1">
        <v>1.9</v>
      </c>
      <c r="J502" s="1">
        <v>0</v>
      </c>
      <c r="K502" s="1">
        <v>81</v>
      </c>
      <c r="L502" s="1" t="s">
        <v>199</v>
      </c>
      <c r="M502" s="1" t="s">
        <v>3916</v>
      </c>
      <c r="N502" s="1" t="s">
        <v>12</v>
      </c>
      <c r="O502" s="1" t="s">
        <v>3917</v>
      </c>
    </row>
    <row r="503" spans="1:15" x14ac:dyDescent="0.4">
      <c r="A503" s="1" t="s">
        <v>420</v>
      </c>
      <c r="B503" s="1" t="s">
        <v>418</v>
      </c>
      <c r="C503" s="1" t="s">
        <v>423</v>
      </c>
      <c r="D503" s="1" t="s">
        <v>419</v>
      </c>
      <c r="E503" s="1" t="s">
        <v>4675</v>
      </c>
      <c r="F503" s="1" t="s">
        <v>14</v>
      </c>
      <c r="G503" s="4" t="str">
        <f>"07630"</f>
        <v>07630</v>
      </c>
      <c r="H503" s="1">
        <v>8</v>
      </c>
      <c r="I503" s="1">
        <v>2.1</v>
      </c>
      <c r="J503" s="1">
        <v>0</v>
      </c>
      <c r="K503" s="1">
        <v>76</v>
      </c>
      <c r="L503" s="1" t="s">
        <v>289</v>
      </c>
      <c r="M503" s="1" t="s">
        <v>421</v>
      </c>
      <c r="N503" s="1" t="s">
        <v>12</v>
      </c>
      <c r="O503" s="1" t="s">
        <v>422</v>
      </c>
    </row>
    <row r="504" spans="1:15" x14ac:dyDescent="0.4">
      <c r="A504" s="1" t="s">
        <v>420</v>
      </c>
      <c r="B504" s="1" t="s">
        <v>629</v>
      </c>
      <c r="C504" s="1" t="s">
        <v>638</v>
      </c>
      <c r="D504" s="1" t="s">
        <v>634</v>
      </c>
      <c r="E504" s="1" t="s">
        <v>4675</v>
      </c>
      <c r="F504" s="1" t="s">
        <v>14</v>
      </c>
      <c r="G504" s="4" t="str">
        <f>"07071"</f>
        <v>07071</v>
      </c>
      <c r="H504" s="1">
        <v>8</v>
      </c>
      <c r="I504" s="1">
        <v>2.1</v>
      </c>
      <c r="J504" s="1">
        <v>0</v>
      </c>
      <c r="K504" s="1">
        <v>76</v>
      </c>
      <c r="L504" s="1" t="s">
        <v>176</v>
      </c>
      <c r="M504" s="1" t="s">
        <v>635</v>
      </c>
      <c r="N504" s="1" t="s">
        <v>12</v>
      </c>
      <c r="O504" s="1" t="s">
        <v>636</v>
      </c>
    </row>
    <row r="505" spans="1:15" x14ac:dyDescent="0.4">
      <c r="A505" s="1" t="s">
        <v>420</v>
      </c>
      <c r="B505" s="1" t="s">
        <v>654</v>
      </c>
      <c r="C505" s="1" t="s">
        <v>659</v>
      </c>
      <c r="D505" s="1" t="s">
        <v>655</v>
      </c>
      <c r="E505" s="1" t="s">
        <v>4675</v>
      </c>
      <c r="F505" s="1" t="s">
        <v>14</v>
      </c>
      <c r="G505" s="4" t="str">
        <f>"07607-1621"</f>
        <v>07607-1621</v>
      </c>
      <c r="H505" s="1">
        <v>8</v>
      </c>
      <c r="I505" s="1">
        <v>2.1</v>
      </c>
      <c r="J505" s="1">
        <v>0</v>
      </c>
      <c r="K505" s="1">
        <v>76</v>
      </c>
      <c r="L505" s="1" t="s">
        <v>176</v>
      </c>
      <c r="M505" s="1" t="s">
        <v>657</v>
      </c>
      <c r="N505" s="1" t="s">
        <v>12</v>
      </c>
      <c r="O505" s="1" t="s">
        <v>658</v>
      </c>
    </row>
    <row r="506" spans="1:15" x14ac:dyDescent="0.4">
      <c r="A506" s="1" t="s">
        <v>420</v>
      </c>
      <c r="B506" s="1" t="s">
        <v>872</v>
      </c>
      <c r="C506" s="1" t="s">
        <v>875</v>
      </c>
      <c r="D506" s="1" t="s">
        <v>876</v>
      </c>
      <c r="E506" s="1" t="s">
        <v>4675</v>
      </c>
      <c r="F506" s="1" t="s">
        <v>14</v>
      </c>
      <c r="G506" s="4" t="str">
        <f>"07606-1537"</f>
        <v>07606-1537</v>
      </c>
      <c r="H506" s="1">
        <v>8</v>
      </c>
      <c r="I506" s="1">
        <v>2.1</v>
      </c>
      <c r="J506" s="1">
        <v>0</v>
      </c>
      <c r="K506" s="1">
        <v>76</v>
      </c>
      <c r="L506" s="1" t="s">
        <v>29</v>
      </c>
      <c r="M506" s="1" t="s">
        <v>873</v>
      </c>
      <c r="N506" s="1" t="s">
        <v>12</v>
      </c>
      <c r="O506" s="1" t="s">
        <v>874</v>
      </c>
    </row>
    <row r="507" spans="1:15" x14ac:dyDescent="0.4">
      <c r="A507" s="1" t="s">
        <v>420</v>
      </c>
      <c r="B507" s="1" t="s">
        <v>3415</v>
      </c>
      <c r="C507" s="1" t="s">
        <v>3418</v>
      </c>
      <c r="D507" s="1" t="s">
        <v>3419</v>
      </c>
      <c r="E507" s="1" t="s">
        <v>4675</v>
      </c>
      <c r="F507" s="1" t="s">
        <v>14</v>
      </c>
      <c r="G507" s="4" t="str">
        <f>"07735-3098"</f>
        <v>07735-3098</v>
      </c>
      <c r="H507" s="1">
        <v>8</v>
      </c>
      <c r="I507" s="1">
        <v>2.1</v>
      </c>
      <c r="J507" s="1">
        <v>0</v>
      </c>
      <c r="K507" s="1">
        <v>76</v>
      </c>
      <c r="L507" s="1" t="s">
        <v>26</v>
      </c>
      <c r="M507" s="1" t="s">
        <v>3416</v>
      </c>
      <c r="N507" s="1" t="s">
        <v>12</v>
      </c>
      <c r="O507" s="1" t="s">
        <v>3417</v>
      </c>
    </row>
    <row r="508" spans="1:15" x14ac:dyDescent="0.4">
      <c r="A508" s="1" t="s">
        <v>420</v>
      </c>
      <c r="B508" s="1" t="s">
        <v>4013</v>
      </c>
      <c r="C508" s="1" t="s">
        <v>4016</v>
      </c>
      <c r="D508" s="1" t="s">
        <v>4017</v>
      </c>
      <c r="E508" s="1" t="s">
        <v>4675</v>
      </c>
      <c r="F508" s="1" t="s">
        <v>14</v>
      </c>
      <c r="G508" s="4" t="str">
        <f>"07512-2661"</f>
        <v>07512-2661</v>
      </c>
      <c r="H508" s="1">
        <v>8</v>
      </c>
      <c r="I508" s="1">
        <v>2.1</v>
      </c>
      <c r="J508" s="1">
        <v>0</v>
      </c>
      <c r="K508" s="1">
        <v>76</v>
      </c>
      <c r="L508" s="1" t="s">
        <v>77</v>
      </c>
      <c r="M508" s="1" t="s">
        <v>4014</v>
      </c>
      <c r="N508" s="1" t="s">
        <v>12</v>
      </c>
      <c r="O508" s="1" t="s">
        <v>4015</v>
      </c>
    </row>
    <row r="509" spans="1:15" x14ac:dyDescent="0.4">
      <c r="A509" s="1" t="s">
        <v>3526</v>
      </c>
      <c r="B509" s="1" t="s">
        <v>3525</v>
      </c>
      <c r="C509" s="1" t="s">
        <v>3529</v>
      </c>
      <c r="D509" s="1" t="s">
        <v>3530</v>
      </c>
      <c r="E509" s="1" t="s">
        <v>1033</v>
      </c>
      <c r="F509" s="1" t="s">
        <v>14</v>
      </c>
      <c r="G509" s="4" t="str">
        <f>"07926"</f>
        <v>07926</v>
      </c>
      <c r="H509" s="1">
        <v>38</v>
      </c>
      <c r="I509" s="1">
        <v>8.6999999999999993</v>
      </c>
      <c r="J509" s="1">
        <v>0</v>
      </c>
      <c r="K509" s="1">
        <v>60</v>
      </c>
      <c r="L509" s="1" t="s">
        <v>804</v>
      </c>
      <c r="M509" s="1" t="s">
        <v>3527</v>
      </c>
      <c r="N509" s="1" t="s">
        <v>12</v>
      </c>
      <c r="O509" s="1" t="s">
        <v>3528</v>
      </c>
    </row>
    <row r="510" spans="1:15" x14ac:dyDescent="0.4">
      <c r="A510" s="1" t="s">
        <v>1410</v>
      </c>
      <c r="B510" s="1" t="s">
        <v>1409</v>
      </c>
      <c r="C510" s="1" t="s">
        <v>1413</v>
      </c>
      <c r="D510" s="1" t="s">
        <v>1414</v>
      </c>
      <c r="E510" s="1" t="s">
        <v>1271</v>
      </c>
      <c r="F510" s="1" t="s">
        <v>14</v>
      </c>
      <c r="G510" s="4" t="str">
        <f>"08109-2207"</f>
        <v>08109-2207</v>
      </c>
      <c r="H510" s="1">
        <v>7</v>
      </c>
      <c r="I510" s="1">
        <v>1.8</v>
      </c>
      <c r="J510" s="1">
        <v>0</v>
      </c>
      <c r="K510" s="1">
        <v>39</v>
      </c>
      <c r="L510" s="1" t="s">
        <v>175</v>
      </c>
      <c r="M510" s="1" t="s">
        <v>1411</v>
      </c>
      <c r="N510" s="1" t="s">
        <v>134</v>
      </c>
      <c r="O510" s="1" t="s">
        <v>1412</v>
      </c>
    </row>
    <row r="511" spans="1:15" x14ac:dyDescent="0.4">
      <c r="A511" s="1" t="s">
        <v>4304</v>
      </c>
      <c r="B511" s="1" t="s">
        <v>4303</v>
      </c>
      <c r="C511" s="1" t="s">
        <v>4306</v>
      </c>
      <c r="D511" s="1" t="s">
        <v>4245</v>
      </c>
      <c r="E511" s="1" t="s">
        <v>4687</v>
      </c>
      <c r="F511" s="1" t="s">
        <v>14</v>
      </c>
      <c r="G511" s="4" t="str">
        <f>"07860"</f>
        <v>07860</v>
      </c>
      <c r="H511" s="1">
        <v>60</v>
      </c>
      <c r="I511" s="1">
        <v>12.4</v>
      </c>
      <c r="J511" s="1">
        <v>0</v>
      </c>
      <c r="K511" s="1">
        <v>83</v>
      </c>
      <c r="L511" s="1" t="s">
        <v>10</v>
      </c>
      <c r="M511" s="1" t="s">
        <v>4137</v>
      </c>
      <c r="N511" s="1" t="s">
        <v>12</v>
      </c>
      <c r="O511" s="1" t="s">
        <v>4305</v>
      </c>
    </row>
    <row r="512" spans="1:15" x14ac:dyDescent="0.4">
      <c r="A512" s="1" t="s">
        <v>2054</v>
      </c>
      <c r="B512" s="1" t="s">
        <v>1952</v>
      </c>
      <c r="C512" s="1" t="s">
        <v>2058</v>
      </c>
      <c r="D512" s="1" t="s">
        <v>1389</v>
      </c>
      <c r="E512" s="1" t="s">
        <v>4681</v>
      </c>
      <c r="F512" s="1" t="s">
        <v>14</v>
      </c>
      <c r="G512" s="4" t="str">
        <f>"07103"</f>
        <v>07103</v>
      </c>
      <c r="H512" s="1">
        <v>49</v>
      </c>
      <c r="I512" s="1">
        <v>24.7</v>
      </c>
      <c r="J512" s="1">
        <v>0</v>
      </c>
      <c r="K512" s="1">
        <v>23</v>
      </c>
      <c r="L512" s="1" t="s">
        <v>2055</v>
      </c>
      <c r="M512" s="1" t="s">
        <v>2056</v>
      </c>
      <c r="N512" s="1" t="s">
        <v>12</v>
      </c>
      <c r="O512" s="1" t="s">
        <v>2057</v>
      </c>
    </row>
    <row r="513" spans="1:15" x14ac:dyDescent="0.4">
      <c r="A513" s="1" t="s">
        <v>1541</v>
      </c>
      <c r="B513" s="1" t="s">
        <v>1540</v>
      </c>
      <c r="C513" s="1" t="s">
        <v>1544</v>
      </c>
      <c r="D513" s="1" t="s">
        <v>1521</v>
      </c>
      <c r="E513" s="1" t="s">
        <v>4678</v>
      </c>
      <c r="F513" s="1" t="s">
        <v>14</v>
      </c>
      <c r="G513" s="4" t="str">
        <f>"08210"</f>
        <v>08210</v>
      </c>
      <c r="H513" s="1">
        <v>194</v>
      </c>
      <c r="I513" s="1">
        <v>28.2</v>
      </c>
      <c r="J513" s="1">
        <v>0</v>
      </c>
      <c r="K513" s="1">
        <v>155</v>
      </c>
      <c r="L513" s="1" t="s">
        <v>1078</v>
      </c>
      <c r="M513" s="1" t="s">
        <v>1542</v>
      </c>
      <c r="N513" s="1" t="s">
        <v>12</v>
      </c>
      <c r="O513" s="1" t="s">
        <v>1543</v>
      </c>
    </row>
    <row r="514" spans="1:15" x14ac:dyDescent="0.4">
      <c r="A514" s="1" t="s">
        <v>3319</v>
      </c>
      <c r="B514" s="1" t="s">
        <v>3312</v>
      </c>
      <c r="C514" s="1" t="s">
        <v>3322</v>
      </c>
      <c r="D514" s="1" t="s">
        <v>3318</v>
      </c>
      <c r="E514" s="1" t="s">
        <v>4684</v>
      </c>
      <c r="F514" s="1" t="s">
        <v>14</v>
      </c>
      <c r="G514" s="4" t="str">
        <f>"07748-2085"</f>
        <v>07748-2085</v>
      </c>
      <c r="H514" s="1">
        <v>5</v>
      </c>
      <c r="I514" s="1">
        <v>1.2</v>
      </c>
      <c r="J514" s="1">
        <v>0</v>
      </c>
      <c r="K514" s="1">
        <v>61</v>
      </c>
      <c r="L514" s="1" t="s">
        <v>132</v>
      </c>
      <c r="M514" s="1" t="s">
        <v>3320</v>
      </c>
      <c r="N514" s="1" t="s">
        <v>12</v>
      </c>
      <c r="O514" s="1" t="s">
        <v>3321</v>
      </c>
    </row>
    <row r="515" spans="1:15" x14ac:dyDescent="0.4">
      <c r="A515" s="1" t="s">
        <v>839</v>
      </c>
      <c r="B515" s="1" t="s">
        <v>838</v>
      </c>
      <c r="C515" s="1" t="s">
        <v>843</v>
      </c>
      <c r="D515" s="1" t="s">
        <v>844</v>
      </c>
      <c r="E515" s="1" t="s">
        <v>4675</v>
      </c>
      <c r="F515" s="1" t="s">
        <v>14</v>
      </c>
      <c r="G515" s="4" t="str">
        <f>"07662-3915"</f>
        <v>07662-3915</v>
      </c>
      <c r="H515" s="1">
        <v>24</v>
      </c>
      <c r="I515" s="1">
        <v>5.2</v>
      </c>
      <c r="J515" s="1">
        <v>0</v>
      </c>
      <c r="K515" s="1">
        <v>32</v>
      </c>
      <c r="L515" s="1" t="s">
        <v>840</v>
      </c>
      <c r="M515" s="1" t="s">
        <v>841</v>
      </c>
      <c r="N515" s="1" t="s">
        <v>12</v>
      </c>
      <c r="O515" s="1" t="s">
        <v>842</v>
      </c>
    </row>
    <row r="516" spans="1:15" x14ac:dyDescent="0.4">
      <c r="A516" s="1" t="s">
        <v>3360</v>
      </c>
      <c r="B516" s="1" t="s">
        <v>3351</v>
      </c>
      <c r="C516" s="1" t="s">
        <v>3363</v>
      </c>
      <c r="D516" s="1" t="s">
        <v>3343</v>
      </c>
      <c r="E516" s="1" t="s">
        <v>4684</v>
      </c>
      <c r="F516" s="1" t="s">
        <v>14</v>
      </c>
      <c r="G516" s="4" t="str">
        <f>"07753-5034"</f>
        <v>07753-5034</v>
      </c>
      <c r="H516" s="1">
        <v>84</v>
      </c>
      <c r="I516" s="1">
        <v>19.2</v>
      </c>
      <c r="J516" s="1">
        <v>0</v>
      </c>
      <c r="K516" s="1">
        <v>61</v>
      </c>
      <c r="L516" s="1" t="s">
        <v>234</v>
      </c>
      <c r="M516" s="1" t="s">
        <v>3361</v>
      </c>
      <c r="N516" s="1" t="s">
        <v>12</v>
      </c>
      <c r="O516" s="1" t="s">
        <v>3362</v>
      </c>
    </row>
    <row r="517" spans="1:15" x14ac:dyDescent="0.4">
      <c r="A517" s="1" t="s">
        <v>2953</v>
      </c>
      <c r="B517" s="1" t="s">
        <v>2951</v>
      </c>
      <c r="C517" s="1" t="s">
        <v>2956</v>
      </c>
      <c r="D517" s="1" t="s">
        <v>2952</v>
      </c>
      <c r="E517" s="1" t="s">
        <v>2962</v>
      </c>
      <c r="F517" s="1" t="s">
        <v>14</v>
      </c>
      <c r="G517" s="4" t="str">
        <f>"08840"</f>
        <v>08840</v>
      </c>
      <c r="H517" s="1">
        <v>11</v>
      </c>
      <c r="I517" s="1">
        <v>7.2</v>
      </c>
      <c r="J517" s="1">
        <v>90</v>
      </c>
      <c r="K517" s="1">
        <v>15</v>
      </c>
      <c r="L517" s="1" t="s">
        <v>40</v>
      </c>
      <c r="M517" s="1" t="s">
        <v>2954</v>
      </c>
      <c r="N517" s="1" t="s">
        <v>12</v>
      </c>
      <c r="O517" s="1" t="s">
        <v>2955</v>
      </c>
    </row>
    <row r="518" spans="1:15" x14ac:dyDescent="0.4">
      <c r="A518" s="1" t="s">
        <v>1865</v>
      </c>
      <c r="B518" s="1" t="s">
        <v>1826</v>
      </c>
      <c r="C518" s="1" t="s">
        <v>1869</v>
      </c>
      <c r="D518" s="1" t="s">
        <v>1612</v>
      </c>
      <c r="E518" s="1" t="s">
        <v>4681</v>
      </c>
      <c r="F518" s="1" t="s">
        <v>14</v>
      </c>
      <c r="G518" s="4" t="str">
        <f>"07017-4706"</f>
        <v>07017-4706</v>
      </c>
      <c r="H518" s="1">
        <v>43</v>
      </c>
      <c r="I518" s="1">
        <v>17.600000000000001</v>
      </c>
      <c r="J518" s="1">
        <v>0</v>
      </c>
      <c r="K518" s="1">
        <v>0</v>
      </c>
      <c r="L518" s="1" t="s">
        <v>1866</v>
      </c>
      <c r="M518" s="1" t="s">
        <v>1867</v>
      </c>
      <c r="N518" s="1" t="s">
        <v>12</v>
      </c>
      <c r="O518" s="1" t="s">
        <v>1868</v>
      </c>
    </row>
    <row r="519" spans="1:15" x14ac:dyDescent="0.4">
      <c r="A519" s="1" t="s">
        <v>1019</v>
      </c>
      <c r="B519" s="1" t="s">
        <v>1018</v>
      </c>
      <c r="C519" s="1" t="s">
        <v>1023</v>
      </c>
      <c r="D519" s="1" t="s">
        <v>1024</v>
      </c>
      <c r="E519" s="1" t="s">
        <v>4676</v>
      </c>
      <c r="F519" s="1" t="s">
        <v>14</v>
      </c>
      <c r="G519" s="4" t="str">
        <f>"08010"</f>
        <v>08010</v>
      </c>
      <c r="H519" s="1">
        <v>54</v>
      </c>
      <c r="I519" s="1">
        <v>9.5</v>
      </c>
      <c r="J519" s="1">
        <v>0</v>
      </c>
      <c r="K519" s="1">
        <v>103</v>
      </c>
      <c r="L519" s="1" t="s">
        <v>1020</v>
      </c>
      <c r="M519" s="1" t="s">
        <v>1021</v>
      </c>
      <c r="N519" s="1" t="s">
        <v>12</v>
      </c>
      <c r="O519" s="1" t="s">
        <v>1022</v>
      </c>
    </row>
    <row r="520" spans="1:15" x14ac:dyDescent="0.4">
      <c r="A520" s="1" t="s">
        <v>2713</v>
      </c>
      <c r="B520" s="1" t="s">
        <v>2712</v>
      </c>
      <c r="C520" s="1" t="s">
        <v>2716</v>
      </c>
      <c r="D520" s="1" t="s">
        <v>2696</v>
      </c>
      <c r="E520" s="1" t="s">
        <v>4682</v>
      </c>
      <c r="F520" s="1" t="s">
        <v>14</v>
      </c>
      <c r="G520" s="4" t="str">
        <f>"08848-9459"</f>
        <v>08848-9459</v>
      </c>
      <c r="H520" s="1">
        <v>13</v>
      </c>
      <c r="I520" s="1">
        <v>20.3</v>
      </c>
      <c r="J520" s="1">
        <v>0</v>
      </c>
      <c r="K520" s="1">
        <v>9</v>
      </c>
      <c r="L520" s="1" t="s">
        <v>284</v>
      </c>
      <c r="M520" s="1" t="s">
        <v>2714</v>
      </c>
      <c r="N520" s="1" t="s">
        <v>134</v>
      </c>
      <c r="O520" s="1" t="s">
        <v>2715</v>
      </c>
    </row>
    <row r="521" spans="1:15" x14ac:dyDescent="0.4">
      <c r="A521" s="1" t="s">
        <v>3727</v>
      </c>
      <c r="B521" s="1" t="s">
        <v>3725</v>
      </c>
      <c r="C521" s="1" t="s">
        <v>3731</v>
      </c>
      <c r="D521" s="1" t="s">
        <v>3726</v>
      </c>
      <c r="E521" s="1" t="s">
        <v>4685</v>
      </c>
      <c r="F521" s="1" t="s">
        <v>14</v>
      </c>
      <c r="G521" s="4" t="str">
        <f>"08734"</f>
        <v>08734</v>
      </c>
      <c r="H521" s="1">
        <v>348</v>
      </c>
      <c r="I521" s="1">
        <v>58.1</v>
      </c>
      <c r="J521" s="1">
        <v>0</v>
      </c>
      <c r="K521" s="1">
        <v>251</v>
      </c>
      <c r="L521" s="1" t="s">
        <v>3728</v>
      </c>
      <c r="M521" s="1" t="s">
        <v>3729</v>
      </c>
      <c r="N521" s="1" t="s">
        <v>12</v>
      </c>
      <c r="O521" s="1" t="s">
        <v>3730</v>
      </c>
    </row>
    <row r="522" spans="1:15" x14ac:dyDescent="0.4">
      <c r="A522" s="1" t="s">
        <v>3330</v>
      </c>
      <c r="B522" s="1" t="s">
        <v>3329</v>
      </c>
      <c r="C522" s="1" t="s">
        <v>3333</v>
      </c>
      <c r="D522" s="1" t="s">
        <v>3334</v>
      </c>
      <c r="E522" s="1" t="s">
        <v>4684</v>
      </c>
      <c r="F522" s="1" t="s">
        <v>14</v>
      </c>
      <c r="G522" s="4" t="str">
        <f>"08510"</f>
        <v>08510</v>
      </c>
      <c r="H522" s="1">
        <v>52</v>
      </c>
      <c r="I522" s="1">
        <v>13.2</v>
      </c>
      <c r="J522" s="1">
        <v>95</v>
      </c>
      <c r="K522" s="1">
        <v>0</v>
      </c>
      <c r="L522" s="1" t="s">
        <v>175</v>
      </c>
      <c r="M522" s="1" t="s">
        <v>3331</v>
      </c>
      <c r="N522" s="1" t="s">
        <v>12</v>
      </c>
      <c r="O522" s="1" t="s">
        <v>3332</v>
      </c>
    </row>
    <row r="523" spans="1:15" x14ac:dyDescent="0.4">
      <c r="A523" s="1" t="s">
        <v>4144</v>
      </c>
      <c r="B523" s="1" t="s">
        <v>4138</v>
      </c>
      <c r="C523" s="1" t="s">
        <v>4147</v>
      </c>
      <c r="D523" s="1" t="s">
        <v>4143</v>
      </c>
      <c r="E523" s="1" t="s">
        <v>1597</v>
      </c>
      <c r="F523" s="1" t="s">
        <v>14</v>
      </c>
      <c r="G523" s="4" t="str">
        <f>"08807"</f>
        <v>08807</v>
      </c>
      <c r="H523" s="1">
        <v>19</v>
      </c>
      <c r="I523" s="1">
        <v>5.5</v>
      </c>
      <c r="J523" s="1">
        <v>31</v>
      </c>
      <c r="K523" s="1">
        <v>4</v>
      </c>
      <c r="L523" s="1" t="s">
        <v>989</v>
      </c>
      <c r="M523" s="1" t="s">
        <v>4145</v>
      </c>
      <c r="N523" s="1" t="s">
        <v>12</v>
      </c>
      <c r="O523" s="1" t="s">
        <v>4146</v>
      </c>
    </row>
    <row r="524" spans="1:15" x14ac:dyDescent="0.4">
      <c r="A524" s="1" t="s">
        <v>3625</v>
      </c>
      <c r="B524" s="1" t="s">
        <v>3623</v>
      </c>
      <c r="C524" s="1" t="s">
        <v>3628</v>
      </c>
      <c r="D524" s="1" t="s">
        <v>3624</v>
      </c>
      <c r="E524" s="1" t="s">
        <v>1033</v>
      </c>
      <c r="F524" s="1" t="s">
        <v>14</v>
      </c>
      <c r="G524" s="4" t="str">
        <f>"07928"</f>
        <v>07928</v>
      </c>
      <c r="H524" s="1">
        <v>9</v>
      </c>
      <c r="I524" s="1">
        <v>3</v>
      </c>
      <c r="J524" s="1">
        <v>0</v>
      </c>
      <c r="K524" s="1">
        <v>63</v>
      </c>
      <c r="L524" s="1" t="s">
        <v>1658</v>
      </c>
      <c r="M524" s="1" t="s">
        <v>3626</v>
      </c>
      <c r="N524" s="1" t="s">
        <v>12</v>
      </c>
      <c r="O524" s="1" t="s">
        <v>3627</v>
      </c>
    </row>
    <row r="525" spans="1:15" x14ac:dyDescent="0.4">
      <c r="A525" s="1" t="s">
        <v>1097</v>
      </c>
      <c r="B525" s="1" t="s">
        <v>1079</v>
      </c>
      <c r="C525" s="1" t="s">
        <v>1100</v>
      </c>
      <c r="D525" s="1" t="s">
        <v>1054</v>
      </c>
      <c r="E525" s="1" t="s">
        <v>4676</v>
      </c>
      <c r="F525" s="1" t="s">
        <v>14</v>
      </c>
      <c r="G525" s="4" t="str">
        <f>"08055-2402"</f>
        <v>08055-2402</v>
      </c>
      <c r="H525" s="1">
        <v>23</v>
      </c>
      <c r="I525" s="1">
        <v>5.4</v>
      </c>
      <c r="J525" s="1">
        <v>0</v>
      </c>
      <c r="K525" s="1">
        <v>60</v>
      </c>
      <c r="L525" s="1" t="s">
        <v>335</v>
      </c>
      <c r="M525" s="1" t="s">
        <v>1098</v>
      </c>
      <c r="N525" s="1" t="s">
        <v>12</v>
      </c>
      <c r="O525" s="1" t="s">
        <v>1099</v>
      </c>
    </row>
    <row r="526" spans="1:15" x14ac:dyDescent="0.4">
      <c r="A526" s="1" t="s">
        <v>3336</v>
      </c>
      <c r="B526" s="1" t="s">
        <v>3335</v>
      </c>
      <c r="C526" s="1" t="s">
        <v>3340</v>
      </c>
      <c r="D526" s="1" t="s">
        <v>3341</v>
      </c>
      <c r="E526" s="1" t="s">
        <v>4684</v>
      </c>
      <c r="F526" s="1" t="s">
        <v>14</v>
      </c>
      <c r="G526" s="4" t="str">
        <f>"07750-1199"</f>
        <v>07750-1199</v>
      </c>
      <c r="H526" s="1">
        <v>38</v>
      </c>
      <c r="I526" s="1">
        <v>16.5</v>
      </c>
      <c r="J526" s="1">
        <v>0</v>
      </c>
      <c r="K526" s="1">
        <v>19</v>
      </c>
      <c r="L526" s="1" t="s">
        <v>3337</v>
      </c>
      <c r="M526" s="1" t="s">
        <v>3338</v>
      </c>
      <c r="N526" s="1" t="s">
        <v>134</v>
      </c>
      <c r="O526" s="1" t="s">
        <v>3339</v>
      </c>
    </row>
    <row r="527" spans="1:15" x14ac:dyDescent="0.4">
      <c r="A527" s="1" t="s">
        <v>3101</v>
      </c>
      <c r="B527" s="1" t="s">
        <v>3074</v>
      </c>
      <c r="C527" s="1" t="s">
        <v>3104</v>
      </c>
      <c r="D527" s="1" t="s">
        <v>3079</v>
      </c>
      <c r="E527" s="1" t="s">
        <v>2962</v>
      </c>
      <c r="F527" s="1" t="s">
        <v>14</v>
      </c>
      <c r="G527" s="4" t="str">
        <f>"08852-9514"</f>
        <v>08852-9514</v>
      </c>
      <c r="H527" s="1">
        <v>30</v>
      </c>
      <c r="I527" s="1">
        <v>10</v>
      </c>
      <c r="J527" s="1">
        <v>0</v>
      </c>
      <c r="K527" s="1">
        <v>38</v>
      </c>
      <c r="L527" s="1" t="s">
        <v>176</v>
      </c>
      <c r="M527" s="1" t="s">
        <v>3102</v>
      </c>
      <c r="N527" s="1" t="s">
        <v>12</v>
      </c>
      <c r="O527" s="1" t="s">
        <v>3103</v>
      </c>
    </row>
    <row r="528" spans="1:15" x14ac:dyDescent="0.4">
      <c r="A528" s="1" t="s">
        <v>4298</v>
      </c>
      <c r="B528" s="1" t="s">
        <v>4297</v>
      </c>
      <c r="C528" s="1" t="s">
        <v>4301</v>
      </c>
      <c r="D528" s="1" t="s">
        <v>4302</v>
      </c>
      <c r="E528" s="1" t="s">
        <v>4687</v>
      </c>
      <c r="F528" s="1" t="s">
        <v>14</v>
      </c>
      <c r="G528" s="4" t="str">
        <f>"07827"</f>
        <v>07827</v>
      </c>
      <c r="H528" s="1">
        <v>54</v>
      </c>
      <c r="I528" s="1">
        <v>16.399999999999999</v>
      </c>
      <c r="J528" s="1">
        <v>0</v>
      </c>
      <c r="K528" s="1">
        <v>33</v>
      </c>
      <c r="L528" s="1" t="s">
        <v>34</v>
      </c>
      <c r="M528" s="1" t="s">
        <v>4299</v>
      </c>
      <c r="N528" s="1" t="s">
        <v>134</v>
      </c>
      <c r="O528" s="1" t="s">
        <v>4300</v>
      </c>
    </row>
    <row r="529" spans="1:15" x14ac:dyDescent="0.4">
      <c r="A529" s="1" t="s">
        <v>2162</v>
      </c>
      <c r="B529" s="1" t="s">
        <v>2161</v>
      </c>
      <c r="C529" s="1" t="s">
        <v>2165</v>
      </c>
      <c r="D529" s="1" t="s">
        <v>2160</v>
      </c>
      <c r="E529" s="1" t="s">
        <v>4681</v>
      </c>
      <c r="F529" s="1" t="s">
        <v>14</v>
      </c>
      <c r="G529" s="4" t="str">
        <f>"07079"</f>
        <v>07079</v>
      </c>
      <c r="H529" s="1">
        <v>98</v>
      </c>
      <c r="I529" s="1">
        <v>100</v>
      </c>
      <c r="J529" s="1">
        <v>0</v>
      </c>
      <c r="K529" s="1">
        <v>0</v>
      </c>
      <c r="L529" s="1" t="s">
        <v>2163</v>
      </c>
      <c r="M529" s="1" t="s">
        <v>1392</v>
      </c>
      <c r="N529" s="1" t="s">
        <v>244</v>
      </c>
      <c r="O529" s="1" t="s">
        <v>2164</v>
      </c>
    </row>
    <row r="530" spans="1:15" x14ac:dyDescent="0.4">
      <c r="A530" s="1" t="s">
        <v>3264</v>
      </c>
      <c r="B530" s="1" t="s">
        <v>3254</v>
      </c>
      <c r="C530" s="1" t="s">
        <v>3266</v>
      </c>
      <c r="D530" s="1" t="s">
        <v>3255</v>
      </c>
      <c r="E530" s="1" t="s">
        <v>4684</v>
      </c>
      <c r="F530" s="1" t="s">
        <v>14</v>
      </c>
      <c r="G530" s="4" t="str">
        <f>"07740"</f>
        <v>07740</v>
      </c>
      <c r="H530" s="1">
        <v>159</v>
      </c>
      <c r="I530" s="1">
        <v>59.6</v>
      </c>
      <c r="J530" s="1">
        <v>0</v>
      </c>
      <c r="K530" s="1">
        <v>108</v>
      </c>
      <c r="L530" s="1" t="s">
        <v>989</v>
      </c>
      <c r="M530" s="1" t="s">
        <v>1392</v>
      </c>
      <c r="N530" s="1" t="s">
        <v>12</v>
      </c>
      <c r="O530" s="1" t="s">
        <v>3265</v>
      </c>
    </row>
    <row r="531" spans="1:15" x14ac:dyDescent="0.4">
      <c r="A531" s="1" t="s">
        <v>1713</v>
      </c>
      <c r="B531" s="1" t="s">
        <v>1712</v>
      </c>
      <c r="C531" s="1" t="s">
        <v>1716</v>
      </c>
      <c r="D531" s="1" t="s">
        <v>1717</v>
      </c>
      <c r="E531" s="1" t="s">
        <v>4680</v>
      </c>
      <c r="F531" s="1" t="s">
        <v>14</v>
      </c>
      <c r="G531" s="4" t="str">
        <f>"08323-0360"</f>
        <v>08323-0360</v>
      </c>
      <c r="H531" s="1">
        <v>10</v>
      </c>
      <c r="I531" s="1">
        <v>11.8</v>
      </c>
      <c r="J531" s="1">
        <v>0</v>
      </c>
      <c r="K531" s="1">
        <v>5</v>
      </c>
      <c r="L531" s="1" t="s">
        <v>831</v>
      </c>
      <c r="M531" s="1" t="s">
        <v>1714</v>
      </c>
      <c r="N531" s="1" t="s">
        <v>105</v>
      </c>
      <c r="O531" s="1" t="s">
        <v>1715</v>
      </c>
    </row>
    <row r="532" spans="1:15" x14ac:dyDescent="0.4">
      <c r="A532" s="1" t="s">
        <v>4125</v>
      </c>
      <c r="B532" s="1" t="s">
        <v>4123</v>
      </c>
      <c r="C532" s="1" t="s">
        <v>4128</v>
      </c>
      <c r="D532" s="1" t="s">
        <v>4124</v>
      </c>
      <c r="E532" s="1" t="s">
        <v>1597</v>
      </c>
      <c r="F532" s="1" t="s">
        <v>14</v>
      </c>
      <c r="G532" s="4" t="str">
        <f>"07920"</f>
        <v>07920</v>
      </c>
      <c r="H532" s="1">
        <v>19</v>
      </c>
      <c r="I532" s="1">
        <v>3.6</v>
      </c>
      <c r="J532" s="1">
        <v>0</v>
      </c>
      <c r="K532" s="1">
        <v>60</v>
      </c>
      <c r="L532" s="1" t="s">
        <v>3136</v>
      </c>
      <c r="M532" s="1" t="s">
        <v>4126</v>
      </c>
      <c r="N532" s="1" t="s">
        <v>12</v>
      </c>
      <c r="O532" s="1" t="s">
        <v>4127</v>
      </c>
    </row>
    <row r="533" spans="1:15" x14ac:dyDescent="0.4">
      <c r="A533" s="1" t="s">
        <v>3543</v>
      </c>
      <c r="B533" s="1" t="s">
        <v>3542</v>
      </c>
      <c r="C533" s="1" t="s">
        <v>3546</v>
      </c>
      <c r="D533" s="1" t="s">
        <v>3490</v>
      </c>
      <c r="E533" s="1" t="s">
        <v>1033</v>
      </c>
      <c r="F533" s="1" t="s">
        <v>14</v>
      </c>
      <c r="G533" s="4" t="str">
        <f>"07950"</f>
        <v>07950</v>
      </c>
      <c r="H533" s="1">
        <v>7</v>
      </c>
      <c r="I533" s="1">
        <v>3.5</v>
      </c>
      <c r="J533" s="1">
        <v>0</v>
      </c>
      <c r="K533" s="1">
        <v>65</v>
      </c>
      <c r="L533" s="1" t="s">
        <v>366</v>
      </c>
      <c r="M533" s="1" t="s">
        <v>3544</v>
      </c>
      <c r="N533" s="1" t="s">
        <v>12</v>
      </c>
      <c r="O533" s="1" t="s">
        <v>3545</v>
      </c>
    </row>
    <row r="534" spans="1:15" x14ac:dyDescent="0.4">
      <c r="A534" s="1" t="s">
        <v>2059</v>
      </c>
      <c r="B534" s="1" t="s">
        <v>1952</v>
      </c>
      <c r="C534" s="1" t="s">
        <v>2063</v>
      </c>
      <c r="D534" s="1" t="s">
        <v>1610</v>
      </c>
      <c r="E534" s="1" t="s">
        <v>4681</v>
      </c>
      <c r="F534" s="1" t="s">
        <v>14</v>
      </c>
      <c r="G534" s="4" t="str">
        <f>"07106-3303"</f>
        <v>07106-3303</v>
      </c>
      <c r="H534" s="1">
        <v>72</v>
      </c>
      <c r="I534" s="1">
        <v>8</v>
      </c>
      <c r="J534" s="1">
        <v>0</v>
      </c>
      <c r="K534" s="1">
        <v>89</v>
      </c>
      <c r="L534" s="1" t="s">
        <v>2060</v>
      </c>
      <c r="M534" s="1" t="s">
        <v>2061</v>
      </c>
      <c r="N534" s="1" t="s">
        <v>12</v>
      </c>
      <c r="O534" s="1" t="s">
        <v>2062</v>
      </c>
    </row>
    <row r="535" spans="1:15" x14ac:dyDescent="0.4">
      <c r="A535" s="1" t="s">
        <v>4227</v>
      </c>
      <c r="B535" s="1" t="s">
        <v>4223</v>
      </c>
      <c r="C535" s="1" t="s">
        <v>4229</v>
      </c>
      <c r="D535" s="1" t="s">
        <v>76</v>
      </c>
      <c r="E535" s="1" t="s">
        <v>1597</v>
      </c>
      <c r="F535" s="1" t="s">
        <v>14</v>
      </c>
      <c r="G535" s="4" t="str">
        <f>"07059-5531"</f>
        <v>07059-5531</v>
      </c>
      <c r="H535" s="1">
        <v>51</v>
      </c>
      <c r="I535" s="1">
        <v>15.4</v>
      </c>
      <c r="J535" s="1">
        <v>0</v>
      </c>
      <c r="K535" s="1">
        <v>38</v>
      </c>
      <c r="L535" s="1" t="s">
        <v>175</v>
      </c>
      <c r="M535" s="1" t="s">
        <v>1601</v>
      </c>
      <c r="N535" s="1" t="s">
        <v>12</v>
      </c>
      <c r="O535" s="1" t="s">
        <v>4228</v>
      </c>
    </row>
    <row r="536" spans="1:15" x14ac:dyDescent="0.4">
      <c r="A536" s="1" t="s">
        <v>1914</v>
      </c>
      <c r="B536" s="1" t="s">
        <v>1897</v>
      </c>
      <c r="C536" s="1" t="s">
        <v>1918</v>
      </c>
      <c r="D536" s="1" t="s">
        <v>1593</v>
      </c>
      <c r="E536" s="1" t="s">
        <v>4681</v>
      </c>
      <c r="F536" s="1" t="s">
        <v>14</v>
      </c>
      <c r="G536" s="4" t="str">
        <f>"07111"</f>
        <v>07111</v>
      </c>
      <c r="H536" s="1">
        <v>100</v>
      </c>
      <c r="I536" s="1">
        <v>16.5</v>
      </c>
      <c r="J536" s="1">
        <v>0</v>
      </c>
      <c r="K536" s="1">
        <v>92</v>
      </c>
      <c r="L536" s="1" t="s">
        <v>1915</v>
      </c>
      <c r="M536" s="1" t="s">
        <v>1916</v>
      </c>
      <c r="N536" s="1" t="s">
        <v>12</v>
      </c>
      <c r="O536" s="1" t="s">
        <v>1917</v>
      </c>
    </row>
    <row r="537" spans="1:15" x14ac:dyDescent="0.4">
      <c r="A537" s="1" t="s">
        <v>211</v>
      </c>
      <c r="B537" s="1" t="s">
        <v>207</v>
      </c>
      <c r="C537" s="1" t="s">
        <v>209</v>
      </c>
      <c r="D537" s="1" t="s">
        <v>210</v>
      </c>
      <c r="E537" s="1" t="s">
        <v>4674</v>
      </c>
      <c r="F537" s="1" t="s">
        <v>14</v>
      </c>
      <c r="G537" s="4" t="str">
        <f>"08217-0318"</f>
        <v>08217-0318</v>
      </c>
      <c r="H537" s="1">
        <v>77</v>
      </c>
      <c r="I537" s="1">
        <v>21.8</v>
      </c>
      <c r="J537" s="1">
        <v>0</v>
      </c>
      <c r="K537" s="1">
        <v>66</v>
      </c>
      <c r="L537" s="1" t="s">
        <v>212</v>
      </c>
      <c r="M537" s="1" t="s">
        <v>213</v>
      </c>
      <c r="N537" s="1" t="s">
        <v>12</v>
      </c>
      <c r="O537" s="1" t="s">
        <v>214</v>
      </c>
    </row>
    <row r="538" spans="1:15" x14ac:dyDescent="0.4">
      <c r="A538" s="1" t="s">
        <v>292</v>
      </c>
      <c r="B538" s="1" t="s">
        <v>275</v>
      </c>
      <c r="C538" s="1" t="s">
        <v>280</v>
      </c>
      <c r="D538" s="1" t="s">
        <v>281</v>
      </c>
      <c r="E538" s="1" t="s">
        <v>4675</v>
      </c>
      <c r="F538" s="1" t="s">
        <v>14</v>
      </c>
      <c r="G538" s="4" t="str">
        <f>"07652-1831"</f>
        <v>07652-1831</v>
      </c>
      <c r="H538" s="1">
        <v>1</v>
      </c>
      <c r="I538" s="1">
        <v>1.8</v>
      </c>
      <c r="J538" s="1">
        <v>0</v>
      </c>
      <c r="K538" s="1">
        <v>0</v>
      </c>
      <c r="L538" s="1" t="s">
        <v>26</v>
      </c>
      <c r="M538" s="1" t="s">
        <v>293</v>
      </c>
      <c r="N538" s="1" t="s">
        <v>12</v>
      </c>
      <c r="O538" s="1" t="s">
        <v>294</v>
      </c>
    </row>
    <row r="539" spans="1:15" x14ac:dyDescent="0.4">
      <c r="A539" s="1" t="s">
        <v>1725</v>
      </c>
      <c r="B539" s="1" t="s">
        <v>1724</v>
      </c>
      <c r="C539" s="1" t="s">
        <v>1729</v>
      </c>
      <c r="D539" s="1" t="s">
        <v>1730</v>
      </c>
      <c r="E539" s="1" t="s">
        <v>4680</v>
      </c>
      <c r="F539" s="1" t="s">
        <v>14</v>
      </c>
      <c r="G539" s="4" t="str">
        <f>"08311"</f>
        <v>08311</v>
      </c>
      <c r="H539" s="1">
        <v>56</v>
      </c>
      <c r="I539" s="1">
        <v>11.7</v>
      </c>
      <c r="J539" s="1">
        <v>0</v>
      </c>
      <c r="K539" s="1">
        <v>41</v>
      </c>
      <c r="L539" s="1" t="s">
        <v>1726</v>
      </c>
      <c r="M539" s="1" t="s">
        <v>1727</v>
      </c>
      <c r="N539" s="1" t="s">
        <v>12</v>
      </c>
      <c r="O539" s="1" t="s">
        <v>1728</v>
      </c>
    </row>
    <row r="540" spans="1:15" x14ac:dyDescent="0.4">
      <c r="A540" s="1" t="s">
        <v>295</v>
      </c>
      <c r="B540" s="1" t="s">
        <v>275</v>
      </c>
      <c r="C540" s="1" t="s">
        <v>299</v>
      </c>
      <c r="D540" s="1" t="s">
        <v>300</v>
      </c>
      <c r="E540" s="1" t="s">
        <v>4675</v>
      </c>
      <c r="F540" s="1" t="s">
        <v>14</v>
      </c>
      <c r="G540" s="4" t="str">
        <f>"07652"</f>
        <v>07652</v>
      </c>
      <c r="H540" s="1">
        <v>12</v>
      </c>
      <c r="I540" s="1">
        <v>12.4</v>
      </c>
      <c r="J540" s="1">
        <v>0</v>
      </c>
      <c r="K540" s="1">
        <v>3</v>
      </c>
      <c r="L540" s="1" t="s">
        <v>296</v>
      </c>
      <c r="M540" s="1" t="s">
        <v>297</v>
      </c>
      <c r="N540" s="1" t="s">
        <v>12</v>
      </c>
      <c r="O540" s="1" t="s">
        <v>298</v>
      </c>
    </row>
    <row r="541" spans="1:15" x14ac:dyDescent="0.4">
      <c r="A541" s="1" t="s">
        <v>2864</v>
      </c>
      <c r="B541" s="1" t="s">
        <v>2857</v>
      </c>
      <c r="C541" s="1" t="s">
        <v>2867</v>
      </c>
      <c r="D541" s="1" t="s">
        <v>2858</v>
      </c>
      <c r="E541" s="1" t="s">
        <v>2962</v>
      </c>
      <c r="F541" s="1" t="s">
        <v>14</v>
      </c>
      <c r="G541" s="4" t="str">
        <f>"07008"</f>
        <v>07008</v>
      </c>
      <c r="H541" s="1">
        <v>46</v>
      </c>
      <c r="I541" s="1">
        <v>10.6</v>
      </c>
      <c r="J541" s="1">
        <v>0</v>
      </c>
      <c r="K541" s="1">
        <v>68</v>
      </c>
      <c r="L541" s="1" t="s">
        <v>1494</v>
      </c>
      <c r="M541" s="1" t="s">
        <v>2865</v>
      </c>
      <c r="N541" s="1" t="s">
        <v>12</v>
      </c>
      <c r="O541" s="1" t="s">
        <v>2866</v>
      </c>
    </row>
    <row r="542" spans="1:15" x14ac:dyDescent="0.4">
      <c r="A542" s="1" t="s">
        <v>2281</v>
      </c>
      <c r="B542" s="1" t="s">
        <v>2280</v>
      </c>
      <c r="C542" s="1" t="s">
        <v>2283</v>
      </c>
      <c r="D542" s="1" t="s">
        <v>2284</v>
      </c>
      <c r="E542" s="1" t="s">
        <v>4677</v>
      </c>
      <c r="F542" s="1" t="s">
        <v>14</v>
      </c>
      <c r="G542" s="4" t="str">
        <f>"08063-1534"</f>
        <v>08063-1534</v>
      </c>
      <c r="H542" s="1">
        <v>53</v>
      </c>
      <c r="I542" s="1">
        <v>18.3</v>
      </c>
      <c r="J542" s="1">
        <v>0</v>
      </c>
      <c r="K542" s="1">
        <v>37</v>
      </c>
      <c r="L542" s="1" t="s">
        <v>155</v>
      </c>
      <c r="M542" s="1" t="s">
        <v>313</v>
      </c>
      <c r="N542" s="1" t="s">
        <v>12</v>
      </c>
      <c r="O542" s="1" t="s">
        <v>2282</v>
      </c>
    </row>
    <row r="543" spans="1:15" x14ac:dyDescent="0.4">
      <c r="A543" s="1" t="s">
        <v>3804</v>
      </c>
      <c r="B543" s="1" t="s">
        <v>3802</v>
      </c>
      <c r="C543" s="1" t="s">
        <v>3807</v>
      </c>
      <c r="D543" s="1" t="s">
        <v>3803</v>
      </c>
      <c r="E543" s="1" t="s">
        <v>4685</v>
      </c>
      <c r="F543" s="1" t="s">
        <v>14</v>
      </c>
      <c r="G543" s="4" t="str">
        <f>"08742"</f>
        <v>08742</v>
      </c>
      <c r="H543" s="1">
        <v>2</v>
      </c>
      <c r="I543" s="1">
        <v>0.3</v>
      </c>
      <c r="J543" s="1">
        <v>0</v>
      </c>
      <c r="K543" s="1">
        <v>111</v>
      </c>
      <c r="L543" s="1" t="s">
        <v>34</v>
      </c>
      <c r="M543" s="1" t="s">
        <v>3805</v>
      </c>
      <c r="N543" s="1" t="s">
        <v>12</v>
      </c>
      <c r="O543" s="1" t="s">
        <v>3806</v>
      </c>
    </row>
    <row r="544" spans="1:15" x14ac:dyDescent="0.4">
      <c r="A544" s="1" t="s">
        <v>555</v>
      </c>
      <c r="B544" s="1" t="s">
        <v>536</v>
      </c>
      <c r="C544" s="1" t="s">
        <v>559</v>
      </c>
      <c r="D544" s="1" t="s">
        <v>542</v>
      </c>
      <c r="E544" s="1" t="s">
        <v>4675</v>
      </c>
      <c r="F544" s="1" t="s">
        <v>14</v>
      </c>
      <c r="G544" s="4" t="str">
        <f>"07601"</f>
        <v>07601</v>
      </c>
      <c r="H544" s="1">
        <v>93</v>
      </c>
      <c r="I544" s="1">
        <v>15.8</v>
      </c>
      <c r="J544" s="1">
        <v>0</v>
      </c>
      <c r="K544" s="1">
        <v>85</v>
      </c>
      <c r="L544" s="1" t="s">
        <v>556</v>
      </c>
      <c r="M544" s="1" t="s">
        <v>557</v>
      </c>
      <c r="N544" s="1" t="s">
        <v>12</v>
      </c>
      <c r="O544" s="1" t="s">
        <v>558</v>
      </c>
    </row>
    <row r="545" spans="1:15" x14ac:dyDescent="0.4">
      <c r="A545" s="1" t="s">
        <v>2064</v>
      </c>
      <c r="B545" s="1" t="s">
        <v>1952</v>
      </c>
      <c r="C545" s="1" t="s">
        <v>2067</v>
      </c>
      <c r="D545" s="1" t="s">
        <v>1389</v>
      </c>
      <c r="E545" s="1" t="s">
        <v>4681</v>
      </c>
      <c r="F545" s="1" t="s">
        <v>14</v>
      </c>
      <c r="G545" s="4" t="str">
        <f>"07103"</f>
        <v>07103</v>
      </c>
      <c r="H545" s="1">
        <v>76</v>
      </c>
      <c r="I545" s="1">
        <v>29.7</v>
      </c>
      <c r="J545" s="1">
        <v>0</v>
      </c>
      <c r="K545" s="1">
        <v>45</v>
      </c>
      <c r="L545" s="1" t="s">
        <v>56</v>
      </c>
      <c r="M545" s="1" t="s">
        <v>2065</v>
      </c>
      <c r="N545" s="1" t="s">
        <v>744</v>
      </c>
      <c r="O545" s="1" t="s">
        <v>2066</v>
      </c>
    </row>
    <row r="546" spans="1:15" x14ac:dyDescent="0.4">
      <c r="A546" s="1" t="s">
        <v>3568</v>
      </c>
      <c r="B546" s="1" t="s">
        <v>3567</v>
      </c>
      <c r="C546" s="1" t="s">
        <v>3571</v>
      </c>
      <c r="D546" s="1" t="s">
        <v>3572</v>
      </c>
      <c r="E546" s="1" t="s">
        <v>1033</v>
      </c>
      <c r="F546" s="1" t="s">
        <v>14</v>
      </c>
      <c r="G546" s="4" t="str">
        <f>"07857-1621"</f>
        <v>07857-1621</v>
      </c>
      <c r="H546" s="1">
        <v>27</v>
      </c>
      <c r="I546" s="1">
        <v>9.1999999999999993</v>
      </c>
      <c r="J546" s="1">
        <v>0</v>
      </c>
      <c r="K546" s="1">
        <v>31</v>
      </c>
      <c r="L546" s="1" t="s">
        <v>847</v>
      </c>
      <c r="M546" s="1" t="s">
        <v>3569</v>
      </c>
      <c r="N546" s="1" t="s">
        <v>12</v>
      </c>
      <c r="O546" s="1" t="s">
        <v>3570</v>
      </c>
    </row>
    <row r="547" spans="1:15" x14ac:dyDescent="0.4">
      <c r="A547" s="1" t="s">
        <v>3798</v>
      </c>
      <c r="B547" s="1" t="s">
        <v>3796</v>
      </c>
      <c r="C547" s="1" t="s">
        <v>3801</v>
      </c>
      <c r="D547" s="1" t="s">
        <v>3797</v>
      </c>
      <c r="E547" s="1" t="s">
        <v>4685</v>
      </c>
      <c r="F547" s="1" t="s">
        <v>14</v>
      </c>
      <c r="G547" s="4" t="str">
        <f>"08533"</f>
        <v>08533</v>
      </c>
      <c r="H547" s="1">
        <v>104</v>
      </c>
      <c r="I547" s="1">
        <v>58.8</v>
      </c>
      <c r="J547" s="1">
        <v>0</v>
      </c>
      <c r="K547" s="1">
        <v>73</v>
      </c>
      <c r="L547" s="1" t="s">
        <v>2794</v>
      </c>
      <c r="M547" s="1" t="s">
        <v>3799</v>
      </c>
      <c r="N547" s="1" t="s">
        <v>1523</v>
      </c>
      <c r="O547" s="1" t="s">
        <v>3800</v>
      </c>
    </row>
    <row r="548" spans="1:15" x14ac:dyDescent="0.4">
      <c r="A548" s="1" t="s">
        <v>1139</v>
      </c>
      <c r="B548" s="1" t="s">
        <v>1138</v>
      </c>
      <c r="C548" s="1" t="s">
        <v>1142</v>
      </c>
      <c r="D548" s="1" t="s">
        <v>1143</v>
      </c>
      <c r="E548" s="1" t="s">
        <v>4676</v>
      </c>
      <c r="F548" s="1" t="s">
        <v>14</v>
      </c>
      <c r="G548" s="4" t="str">
        <f>"08562"</f>
        <v>08562</v>
      </c>
      <c r="H548" s="1">
        <v>14</v>
      </c>
      <c r="I548" s="1">
        <v>7.6</v>
      </c>
      <c r="J548" s="1">
        <v>0</v>
      </c>
      <c r="K548" s="1">
        <v>19</v>
      </c>
      <c r="L548" s="1" t="s">
        <v>175</v>
      </c>
      <c r="M548" s="1" t="s">
        <v>1140</v>
      </c>
      <c r="N548" s="1" t="s">
        <v>134</v>
      </c>
      <c r="O548" s="1" t="s">
        <v>1141</v>
      </c>
    </row>
    <row r="549" spans="1:15" x14ac:dyDescent="0.4">
      <c r="A549" s="1" t="s">
        <v>41</v>
      </c>
      <c r="B549" s="1" t="s">
        <v>23</v>
      </c>
      <c r="C549" s="1" t="s">
        <v>45</v>
      </c>
      <c r="D549" s="1" t="s">
        <v>25</v>
      </c>
      <c r="E549" s="1" t="s">
        <v>4674</v>
      </c>
      <c r="F549" s="1" t="s">
        <v>14</v>
      </c>
      <c r="G549" s="4" t="str">
        <f>"08401"</f>
        <v>08401</v>
      </c>
      <c r="H549" s="1">
        <v>59</v>
      </c>
      <c r="I549" s="1">
        <v>10.7</v>
      </c>
      <c r="J549" s="1">
        <v>0</v>
      </c>
      <c r="K549" s="1">
        <v>56</v>
      </c>
      <c r="L549" s="1" t="s">
        <v>42</v>
      </c>
      <c r="M549" s="1" t="s">
        <v>43</v>
      </c>
      <c r="N549" s="1" t="s">
        <v>12</v>
      </c>
      <c r="O549" s="1" t="s">
        <v>44</v>
      </c>
    </row>
    <row r="550" spans="1:15" x14ac:dyDescent="0.4">
      <c r="A550" s="1" t="s">
        <v>1644</v>
      </c>
      <c r="B550" s="1" t="s">
        <v>1644</v>
      </c>
      <c r="C550" s="1" t="s">
        <v>1648</v>
      </c>
      <c r="D550" s="1" t="s">
        <v>1389</v>
      </c>
      <c r="E550" s="1" t="s">
        <v>4679</v>
      </c>
      <c r="F550" s="1" t="s">
        <v>14</v>
      </c>
      <c r="G550" s="4" t="str">
        <f>"07102"</f>
        <v>07102</v>
      </c>
      <c r="H550" s="1">
        <v>46</v>
      </c>
      <c r="I550" s="1">
        <v>32.4</v>
      </c>
      <c r="J550" s="1">
        <v>0</v>
      </c>
      <c r="K550" s="1">
        <v>22</v>
      </c>
      <c r="L550" s="1" t="s">
        <v>1645</v>
      </c>
      <c r="M550" s="1" t="s">
        <v>1646</v>
      </c>
      <c r="N550" s="1" t="s">
        <v>105</v>
      </c>
      <c r="O550" s="1" t="s">
        <v>1647</v>
      </c>
    </row>
    <row r="551" spans="1:15" x14ac:dyDescent="0.4">
      <c r="A551" s="1" t="s">
        <v>3238</v>
      </c>
      <c r="B551" s="1" t="s">
        <v>3228</v>
      </c>
      <c r="C551" s="1" t="s">
        <v>3241</v>
      </c>
      <c r="D551" s="1" t="s">
        <v>3233</v>
      </c>
      <c r="E551" s="1" t="s">
        <v>4684</v>
      </c>
      <c r="F551" s="1" t="s">
        <v>14</v>
      </c>
      <c r="G551" s="4" t="str">
        <f>"07731-1813"</f>
        <v>07731-1813</v>
      </c>
      <c r="H551" s="1">
        <v>365</v>
      </c>
      <c r="I551" s="1">
        <v>100</v>
      </c>
      <c r="J551" s="1">
        <v>0</v>
      </c>
      <c r="K551" s="1">
        <v>0</v>
      </c>
      <c r="L551" s="1" t="s">
        <v>450</v>
      </c>
      <c r="M551" s="1" t="s">
        <v>3239</v>
      </c>
      <c r="N551" s="1" t="s">
        <v>12</v>
      </c>
      <c r="O551" s="1" t="s">
        <v>3240</v>
      </c>
    </row>
    <row r="552" spans="1:15" x14ac:dyDescent="0.4">
      <c r="A552" s="1" t="s">
        <v>3422</v>
      </c>
      <c r="B552" s="1" t="s">
        <v>3420</v>
      </c>
      <c r="C552" s="1" t="s">
        <v>3425</v>
      </c>
      <c r="D552" s="1" t="s">
        <v>3421</v>
      </c>
      <c r="E552" s="1" t="s">
        <v>4684</v>
      </c>
      <c r="F552" s="1" t="s">
        <v>14</v>
      </c>
      <c r="G552" s="4" t="str">
        <f>"08501-0278"</f>
        <v>08501-0278</v>
      </c>
      <c r="H552" s="1">
        <v>37</v>
      </c>
      <c r="I552" s="1">
        <v>6.8</v>
      </c>
      <c r="J552" s="1">
        <v>0</v>
      </c>
      <c r="K552" s="1">
        <v>96</v>
      </c>
      <c r="L552" s="1" t="s">
        <v>26</v>
      </c>
      <c r="M552" s="1" t="s">
        <v>3423</v>
      </c>
      <c r="N552" s="1" t="s">
        <v>12</v>
      </c>
      <c r="O552" s="1" t="s">
        <v>3424</v>
      </c>
    </row>
    <row r="553" spans="1:15" x14ac:dyDescent="0.4">
      <c r="A553" s="1" t="s">
        <v>2372</v>
      </c>
      <c r="B553" s="1" t="s">
        <v>2350</v>
      </c>
      <c r="C553" s="1" t="s">
        <v>2375</v>
      </c>
      <c r="D553" s="1" t="s">
        <v>2351</v>
      </c>
      <c r="E553" s="1" t="s">
        <v>2239</v>
      </c>
      <c r="F553" s="1" t="s">
        <v>14</v>
      </c>
      <c r="G553" s="4" t="str">
        <f>"07002"</f>
        <v>07002</v>
      </c>
      <c r="H553" s="1">
        <v>38</v>
      </c>
      <c r="I553" s="1">
        <v>9.8000000000000007</v>
      </c>
      <c r="J553" s="1">
        <v>0</v>
      </c>
      <c r="K553" s="1">
        <v>43</v>
      </c>
      <c r="L553" s="1" t="s">
        <v>2222</v>
      </c>
      <c r="M553" s="1" t="s">
        <v>2373</v>
      </c>
      <c r="N553" s="1" t="s">
        <v>12</v>
      </c>
      <c r="O553" s="1" t="s">
        <v>2374</v>
      </c>
    </row>
    <row r="554" spans="1:15" x14ac:dyDescent="0.4">
      <c r="A554" s="1" t="s">
        <v>2488</v>
      </c>
      <c r="B554" s="1" t="s">
        <v>2416</v>
      </c>
      <c r="C554" s="1" t="s">
        <v>2491</v>
      </c>
      <c r="D554" s="1" t="s">
        <v>1624</v>
      </c>
      <c r="E554" s="1" t="s">
        <v>2239</v>
      </c>
      <c r="F554" s="1" t="s">
        <v>14</v>
      </c>
      <c r="G554" s="4" t="str">
        <f>"07307-4210"</f>
        <v>07307-4210</v>
      </c>
      <c r="H554" s="1">
        <v>60</v>
      </c>
      <c r="I554" s="1">
        <v>12.1</v>
      </c>
      <c r="J554" s="1">
        <v>0</v>
      </c>
      <c r="K554" s="1">
        <v>61</v>
      </c>
      <c r="L554" s="1" t="s">
        <v>534</v>
      </c>
      <c r="M554" s="1" t="s">
        <v>2489</v>
      </c>
      <c r="N554" s="1" t="s">
        <v>12</v>
      </c>
      <c r="O554" s="1" t="s">
        <v>2490</v>
      </c>
    </row>
    <row r="555" spans="1:15" x14ac:dyDescent="0.4">
      <c r="A555" s="1" t="s">
        <v>1948</v>
      </c>
      <c r="B555" s="1" t="s">
        <v>1944</v>
      </c>
      <c r="C555" s="1" t="s">
        <v>1951</v>
      </c>
      <c r="D555" s="1" t="s">
        <v>1945</v>
      </c>
      <c r="E555" s="1" t="s">
        <v>4681</v>
      </c>
      <c r="F555" s="1" t="s">
        <v>14</v>
      </c>
      <c r="G555" s="4" t="str">
        <f>"07042-3110"</f>
        <v>07042-3110</v>
      </c>
      <c r="H555" s="1">
        <v>32</v>
      </c>
      <c r="I555" s="1">
        <v>8.5</v>
      </c>
      <c r="J555" s="1">
        <v>0</v>
      </c>
      <c r="K555" s="1">
        <v>92</v>
      </c>
      <c r="L555" s="1" t="s">
        <v>124</v>
      </c>
      <c r="M555" s="1" t="s">
        <v>1949</v>
      </c>
      <c r="N555" s="1" t="s">
        <v>12</v>
      </c>
      <c r="O555" s="1" t="s">
        <v>1950</v>
      </c>
    </row>
    <row r="556" spans="1:15" x14ac:dyDescent="0.4">
      <c r="A556" s="1" t="s">
        <v>3619</v>
      </c>
      <c r="B556" s="1" t="s">
        <v>3612</v>
      </c>
      <c r="C556" s="1" t="s">
        <v>3621</v>
      </c>
      <c r="D556" s="1" t="s">
        <v>3622</v>
      </c>
      <c r="E556" s="1" t="s">
        <v>1033</v>
      </c>
      <c r="F556" s="1" t="s">
        <v>14</v>
      </c>
      <c r="G556" s="4" t="str">
        <f>"07850"</f>
        <v>07850</v>
      </c>
      <c r="H556" s="1">
        <v>17</v>
      </c>
      <c r="I556" s="1">
        <v>6.5</v>
      </c>
      <c r="J556" s="1">
        <v>0</v>
      </c>
      <c r="K556" s="1">
        <v>47</v>
      </c>
      <c r="L556" s="1" t="s">
        <v>376</v>
      </c>
      <c r="M556" s="1" t="s">
        <v>307</v>
      </c>
      <c r="N556" s="1" t="s">
        <v>12</v>
      </c>
      <c r="O556" s="1" t="s">
        <v>3620</v>
      </c>
    </row>
    <row r="557" spans="1:15" x14ac:dyDescent="0.4">
      <c r="A557" s="1" t="s">
        <v>4081</v>
      </c>
      <c r="B557" s="1" t="s">
        <v>4079</v>
      </c>
      <c r="C557" s="1" t="s">
        <v>4084</v>
      </c>
      <c r="D557" s="1" t="s">
        <v>4080</v>
      </c>
      <c r="E557" s="1" t="s">
        <v>4686</v>
      </c>
      <c r="F557" s="1" t="s">
        <v>14</v>
      </c>
      <c r="G557" s="4" t="str">
        <f>"08318"</f>
        <v>08318</v>
      </c>
      <c r="H557" s="1">
        <v>145</v>
      </c>
      <c r="I557" s="1">
        <v>100</v>
      </c>
      <c r="J557" s="1">
        <v>0</v>
      </c>
      <c r="K557" s="1">
        <v>0</v>
      </c>
      <c r="L557" s="1" t="s">
        <v>337</v>
      </c>
      <c r="M557" s="1" t="s">
        <v>4082</v>
      </c>
      <c r="N557" s="1" t="s">
        <v>12</v>
      </c>
      <c r="O557" s="1" t="s">
        <v>4083</v>
      </c>
    </row>
    <row r="558" spans="1:15" x14ac:dyDescent="0.4">
      <c r="A558" s="1" t="s">
        <v>710</v>
      </c>
      <c r="B558" s="1" t="s">
        <v>699</v>
      </c>
      <c r="C558" s="1" t="s">
        <v>713</v>
      </c>
      <c r="D558" s="1" t="s">
        <v>705</v>
      </c>
      <c r="E558" s="1" t="s">
        <v>4675</v>
      </c>
      <c r="F558" s="1" t="s">
        <v>14</v>
      </c>
      <c r="G558" s="4" t="str">
        <f>"07031"</f>
        <v>07031</v>
      </c>
      <c r="H558" s="1">
        <v>14</v>
      </c>
      <c r="I558" s="1">
        <v>2.2000000000000002</v>
      </c>
      <c r="J558" s="1">
        <v>0</v>
      </c>
      <c r="K558" s="1">
        <v>0</v>
      </c>
      <c r="L558" s="1" t="s">
        <v>470</v>
      </c>
      <c r="M558" s="1" t="s">
        <v>711</v>
      </c>
      <c r="N558" s="1" t="s">
        <v>12</v>
      </c>
      <c r="O558" s="1" t="s">
        <v>712</v>
      </c>
    </row>
    <row r="559" spans="1:15" x14ac:dyDescent="0.4">
      <c r="A559" s="1" t="s">
        <v>3586</v>
      </c>
      <c r="B559" s="1" t="s">
        <v>3584</v>
      </c>
      <c r="C559" s="1" t="s">
        <v>3589</v>
      </c>
      <c r="D559" s="1" t="s">
        <v>3585</v>
      </c>
      <c r="E559" s="1" t="s">
        <v>1033</v>
      </c>
      <c r="F559" s="1" t="s">
        <v>14</v>
      </c>
      <c r="G559" s="4" t="str">
        <f>"07444-1701"</f>
        <v>07444-1701</v>
      </c>
      <c r="H559" s="1">
        <v>59</v>
      </c>
      <c r="I559" s="1">
        <v>18.100000000000001</v>
      </c>
      <c r="J559" s="1">
        <v>0</v>
      </c>
      <c r="K559" s="1">
        <v>42</v>
      </c>
      <c r="L559" s="1" t="s">
        <v>2963</v>
      </c>
      <c r="M559" s="1" t="s">
        <v>3587</v>
      </c>
      <c r="N559" s="1" t="s">
        <v>12</v>
      </c>
      <c r="O559" s="1" t="s">
        <v>3588</v>
      </c>
    </row>
    <row r="560" spans="1:15" x14ac:dyDescent="0.4">
      <c r="A560" s="1" t="s">
        <v>3020</v>
      </c>
      <c r="B560" s="1" t="s">
        <v>3006</v>
      </c>
      <c r="C560" s="1" t="s">
        <v>3023</v>
      </c>
      <c r="D560" s="1" t="s">
        <v>3024</v>
      </c>
      <c r="E560" s="1" t="s">
        <v>2962</v>
      </c>
      <c r="F560" s="1" t="s">
        <v>14</v>
      </c>
      <c r="G560" s="4" t="str">
        <f>"08902"</f>
        <v>08902</v>
      </c>
      <c r="H560" s="1">
        <v>106</v>
      </c>
      <c r="I560" s="1">
        <v>100</v>
      </c>
      <c r="J560" s="1">
        <v>0</v>
      </c>
      <c r="K560" s="1">
        <v>0</v>
      </c>
      <c r="L560" s="1" t="s">
        <v>175</v>
      </c>
      <c r="M560" s="1" t="s">
        <v>3021</v>
      </c>
      <c r="N560" s="1" t="s">
        <v>12</v>
      </c>
      <c r="O560" s="1" t="s">
        <v>3022</v>
      </c>
    </row>
    <row r="561" spans="1:15" x14ac:dyDescent="0.4">
      <c r="A561" s="1" t="s">
        <v>425</v>
      </c>
      <c r="B561" s="1" t="s">
        <v>424</v>
      </c>
      <c r="C561" s="1" t="s">
        <v>429</v>
      </c>
      <c r="D561" s="1" t="s">
        <v>430</v>
      </c>
      <c r="E561" s="1" t="s">
        <v>4675</v>
      </c>
      <c r="F561" s="1" t="s">
        <v>14</v>
      </c>
      <c r="G561" s="4" t="str">
        <f>"07632"</f>
        <v>07632</v>
      </c>
      <c r="H561" s="1">
        <v>24</v>
      </c>
      <c r="I561" s="1">
        <v>16.100000000000001</v>
      </c>
      <c r="J561" s="1">
        <v>0</v>
      </c>
      <c r="K561" s="1">
        <v>46</v>
      </c>
      <c r="L561" s="1" t="s">
        <v>426</v>
      </c>
      <c r="M561" s="1" t="s">
        <v>427</v>
      </c>
      <c r="N561" s="1" t="s">
        <v>12</v>
      </c>
      <c r="O561" s="1" t="s">
        <v>428</v>
      </c>
    </row>
    <row r="562" spans="1:15" x14ac:dyDescent="0.4">
      <c r="A562" s="1" t="s">
        <v>3473</v>
      </c>
      <c r="B562" s="1" t="s">
        <v>3463</v>
      </c>
      <c r="C562" s="1" t="s">
        <v>3476</v>
      </c>
      <c r="D562" s="1" t="s">
        <v>3468</v>
      </c>
      <c r="E562" s="1" t="s">
        <v>1033</v>
      </c>
      <c r="F562" s="1" t="s">
        <v>14</v>
      </c>
      <c r="G562" s="4" t="str">
        <f>"07801"</f>
        <v>07801</v>
      </c>
      <c r="H562" s="1">
        <v>26</v>
      </c>
      <c r="I562" s="1">
        <v>4.0999999999999996</v>
      </c>
      <c r="J562" s="1">
        <v>0</v>
      </c>
      <c r="K562" s="1">
        <v>55</v>
      </c>
      <c r="L562" s="1" t="s">
        <v>549</v>
      </c>
      <c r="M562" s="1" t="s">
        <v>3474</v>
      </c>
      <c r="N562" s="1" t="s">
        <v>12</v>
      </c>
      <c r="O562" s="1" t="s">
        <v>3475</v>
      </c>
    </row>
    <row r="563" spans="1:15" x14ac:dyDescent="0.4">
      <c r="A563" s="1" t="s">
        <v>3473</v>
      </c>
      <c r="B563" s="1" t="s">
        <v>3831</v>
      </c>
      <c r="C563" s="1" t="s">
        <v>3839</v>
      </c>
      <c r="D563" s="1" t="s">
        <v>3783</v>
      </c>
      <c r="E563" s="1" t="s">
        <v>1033</v>
      </c>
      <c r="F563" s="1" t="s">
        <v>14</v>
      </c>
      <c r="G563" s="4" t="str">
        <f>"08753"</f>
        <v>08753</v>
      </c>
      <c r="H563" s="1">
        <v>26</v>
      </c>
      <c r="I563" s="1">
        <v>4.0999999999999996</v>
      </c>
      <c r="J563" s="1">
        <v>0</v>
      </c>
      <c r="K563" s="1">
        <v>55</v>
      </c>
      <c r="L563" s="1" t="s">
        <v>975</v>
      </c>
      <c r="M563" s="1" t="s">
        <v>2915</v>
      </c>
      <c r="N563" s="1" t="s">
        <v>12</v>
      </c>
      <c r="O563" s="1" t="s">
        <v>3838</v>
      </c>
    </row>
    <row r="564" spans="1:15" x14ac:dyDescent="0.4">
      <c r="A564" s="1" t="s">
        <v>1820</v>
      </c>
      <c r="B564" s="1" t="s">
        <v>1817</v>
      </c>
      <c r="C564" s="1" t="s">
        <v>1822</v>
      </c>
      <c r="D564" s="1" t="s">
        <v>1819</v>
      </c>
      <c r="E564" s="1" t="s">
        <v>4681</v>
      </c>
      <c r="F564" s="1" t="s">
        <v>14</v>
      </c>
      <c r="G564" s="4" t="str">
        <f>"07009-1147"</f>
        <v>07009-1147</v>
      </c>
      <c r="H564" s="1">
        <v>15</v>
      </c>
      <c r="I564" s="1">
        <v>4.9000000000000004</v>
      </c>
      <c r="J564" s="1">
        <v>0</v>
      </c>
      <c r="K564" s="1">
        <v>60</v>
      </c>
      <c r="L564" s="1" t="s">
        <v>1028</v>
      </c>
      <c r="M564" s="1" t="s">
        <v>1279</v>
      </c>
      <c r="N564" s="1" t="s">
        <v>12</v>
      </c>
      <c r="O564" s="1" t="s">
        <v>1821</v>
      </c>
    </row>
    <row r="565" spans="1:15" x14ac:dyDescent="0.4">
      <c r="A565" s="1" t="s">
        <v>229</v>
      </c>
      <c r="B565" s="1" t="s">
        <v>222</v>
      </c>
      <c r="C565" s="1" t="s">
        <v>233</v>
      </c>
      <c r="D565" s="1" t="s">
        <v>228</v>
      </c>
      <c r="E565" s="1" t="s">
        <v>4674</v>
      </c>
      <c r="F565" s="1" t="s">
        <v>14</v>
      </c>
      <c r="G565" s="4" t="str">
        <f>"08232"</f>
        <v>08232</v>
      </c>
      <c r="H565" s="1">
        <v>93</v>
      </c>
      <c r="I565" s="1">
        <v>29.2</v>
      </c>
      <c r="J565" s="1">
        <v>0</v>
      </c>
      <c r="K565" s="1">
        <v>31</v>
      </c>
      <c r="L565" s="1" t="s">
        <v>230</v>
      </c>
      <c r="M565" s="1" t="s">
        <v>231</v>
      </c>
      <c r="N565" s="1" t="s">
        <v>12</v>
      </c>
      <c r="O565" s="1" t="s">
        <v>232</v>
      </c>
    </row>
    <row r="566" spans="1:15" x14ac:dyDescent="0.4">
      <c r="A566" s="1" t="s">
        <v>720</v>
      </c>
      <c r="B566" s="1" t="s">
        <v>719</v>
      </c>
      <c r="C566" s="1" t="s">
        <v>724</v>
      </c>
      <c r="D566" s="1" t="s">
        <v>725</v>
      </c>
      <c r="E566" s="1" t="s">
        <v>4675</v>
      </c>
      <c r="F566" s="1" t="s">
        <v>14</v>
      </c>
      <c r="G566" s="4" t="str">
        <f>"07648"</f>
        <v>07648</v>
      </c>
      <c r="H566" s="1">
        <v>26</v>
      </c>
      <c r="I566" s="1">
        <v>14.6</v>
      </c>
      <c r="J566" s="1">
        <v>0</v>
      </c>
      <c r="K566" s="1">
        <v>9</v>
      </c>
      <c r="L566" s="1" t="s">
        <v>721</v>
      </c>
      <c r="M566" s="1" t="s">
        <v>722</v>
      </c>
      <c r="N566" s="1" t="s">
        <v>12</v>
      </c>
      <c r="O566" s="1" t="s">
        <v>723</v>
      </c>
    </row>
    <row r="567" spans="1:15" x14ac:dyDescent="0.4">
      <c r="A567" s="1" t="s">
        <v>216</v>
      </c>
      <c r="B567" s="1" t="s">
        <v>215</v>
      </c>
      <c r="C567" s="1" t="s">
        <v>220</v>
      </c>
      <c r="D567" s="1" t="s">
        <v>221</v>
      </c>
      <c r="E567" s="1" t="s">
        <v>4674</v>
      </c>
      <c r="F567" s="1" t="s">
        <v>14</v>
      </c>
      <c r="G567" s="4" t="str">
        <f>"08225"</f>
        <v>08225</v>
      </c>
      <c r="H567" s="1">
        <v>39</v>
      </c>
      <c r="I567" s="1">
        <v>8.5</v>
      </c>
      <c r="J567" s="1">
        <v>0</v>
      </c>
      <c r="K567" s="1">
        <v>89</v>
      </c>
      <c r="L567" s="1" t="s">
        <v>217</v>
      </c>
      <c r="M567" s="1" t="s">
        <v>218</v>
      </c>
      <c r="N567" s="1" t="s">
        <v>12</v>
      </c>
      <c r="O567" s="1" t="s">
        <v>219</v>
      </c>
    </row>
    <row r="568" spans="1:15" x14ac:dyDescent="0.4">
      <c r="A568" s="1" t="s">
        <v>727</v>
      </c>
      <c r="B568" s="1" t="s">
        <v>726</v>
      </c>
      <c r="C568" s="1" t="s">
        <v>730</v>
      </c>
      <c r="D568" s="1" t="s">
        <v>731</v>
      </c>
      <c r="E568" s="1" t="s">
        <v>4675</v>
      </c>
      <c r="F568" s="1" t="s">
        <v>14</v>
      </c>
      <c r="G568" s="4" t="str">
        <f>"07647"</f>
        <v>07647</v>
      </c>
      <c r="H568" s="1">
        <v>16</v>
      </c>
      <c r="I568" s="1">
        <v>3</v>
      </c>
      <c r="J568" s="1">
        <v>0</v>
      </c>
      <c r="K568" s="1">
        <v>52</v>
      </c>
      <c r="L568" s="1" t="s">
        <v>667</v>
      </c>
      <c r="M568" s="1" t="s">
        <v>728</v>
      </c>
      <c r="N568" s="1" t="s">
        <v>12</v>
      </c>
      <c r="O568" s="1" t="s">
        <v>729</v>
      </c>
    </row>
    <row r="569" spans="1:15" x14ac:dyDescent="0.4">
      <c r="A569" s="1" t="s">
        <v>733</v>
      </c>
      <c r="B569" s="1" t="s">
        <v>732</v>
      </c>
      <c r="C569" s="1" t="s">
        <v>736</v>
      </c>
      <c r="D569" s="1" t="s">
        <v>737</v>
      </c>
      <c r="E569" s="1" t="s">
        <v>4675</v>
      </c>
      <c r="F569" s="1" t="s">
        <v>14</v>
      </c>
      <c r="G569" s="4" t="str">
        <f>"07648-1812"</f>
        <v>07648-1812</v>
      </c>
      <c r="H569" s="1">
        <v>29</v>
      </c>
      <c r="I569" s="1">
        <v>5</v>
      </c>
      <c r="J569" s="1">
        <v>0</v>
      </c>
      <c r="K569" s="1">
        <v>55</v>
      </c>
      <c r="L569" s="1" t="s">
        <v>16</v>
      </c>
      <c r="M569" s="1" t="s">
        <v>734</v>
      </c>
      <c r="N569" s="1" t="s">
        <v>12</v>
      </c>
      <c r="O569" s="1" t="s">
        <v>735</v>
      </c>
    </row>
    <row r="570" spans="1:15" x14ac:dyDescent="0.4">
      <c r="A570" s="1" t="s">
        <v>4452</v>
      </c>
      <c r="B570" s="1" t="s">
        <v>4450</v>
      </c>
      <c r="C570" s="1" t="s">
        <v>4455</v>
      </c>
      <c r="D570" s="1" t="s">
        <v>4451</v>
      </c>
      <c r="E570" s="1" t="s">
        <v>4594</v>
      </c>
      <c r="F570" s="1" t="s">
        <v>14</v>
      </c>
      <c r="G570" s="4" t="str">
        <f>"07036-4064"</f>
        <v>07036-4064</v>
      </c>
      <c r="H570" s="1">
        <v>40</v>
      </c>
      <c r="I570" s="1">
        <v>8.8000000000000007</v>
      </c>
      <c r="J570" s="1">
        <v>0</v>
      </c>
      <c r="K570" s="1">
        <v>78</v>
      </c>
      <c r="L570" s="1" t="s">
        <v>4453</v>
      </c>
      <c r="M570" s="1" t="s">
        <v>282</v>
      </c>
      <c r="N570" s="1" t="s">
        <v>12</v>
      </c>
      <c r="O570" s="1" t="s">
        <v>4454</v>
      </c>
    </row>
    <row r="571" spans="1:15" x14ac:dyDescent="0.4">
      <c r="A571" s="1" t="s">
        <v>4456</v>
      </c>
      <c r="B571" s="1" t="s">
        <v>4450</v>
      </c>
      <c r="C571" s="1" t="s">
        <v>4459</v>
      </c>
      <c r="D571" s="1" t="s">
        <v>4451</v>
      </c>
      <c r="E571" s="1" t="s">
        <v>4594</v>
      </c>
      <c r="F571" s="1" t="s">
        <v>14</v>
      </c>
      <c r="G571" s="4" t="str">
        <f>"07036"</f>
        <v>07036</v>
      </c>
      <c r="H571" s="1">
        <v>38</v>
      </c>
      <c r="I571" s="1">
        <v>12.7</v>
      </c>
      <c r="J571" s="1">
        <v>0</v>
      </c>
      <c r="K571" s="1">
        <v>48</v>
      </c>
      <c r="L571" s="1" t="s">
        <v>1258</v>
      </c>
      <c r="M571" s="1" t="s">
        <v>4457</v>
      </c>
      <c r="N571" s="1" t="s">
        <v>12</v>
      </c>
      <c r="O571" s="1" t="s">
        <v>4458</v>
      </c>
    </row>
    <row r="572" spans="1:15" x14ac:dyDescent="0.4">
      <c r="A572" s="1" t="s">
        <v>4460</v>
      </c>
      <c r="B572" s="1" t="s">
        <v>4450</v>
      </c>
      <c r="C572" s="1" t="s">
        <v>4463</v>
      </c>
      <c r="D572" s="1" t="s">
        <v>4464</v>
      </c>
      <c r="E572" s="1" t="s">
        <v>4594</v>
      </c>
      <c r="F572" s="1" t="s">
        <v>14</v>
      </c>
      <c r="G572" s="4" t="str">
        <f>"07036"</f>
        <v>07036</v>
      </c>
      <c r="H572" s="1">
        <v>97</v>
      </c>
      <c r="I572" s="1">
        <v>16.100000000000001</v>
      </c>
      <c r="J572" s="1">
        <v>0</v>
      </c>
      <c r="K572" s="1">
        <v>61</v>
      </c>
      <c r="L572" s="1" t="s">
        <v>399</v>
      </c>
      <c r="M572" s="1" t="s">
        <v>4461</v>
      </c>
      <c r="N572" s="1" t="s">
        <v>12</v>
      </c>
      <c r="O572" s="1" t="s">
        <v>4462</v>
      </c>
    </row>
    <row r="573" spans="1:15" x14ac:dyDescent="0.4">
      <c r="A573" s="1" t="s">
        <v>4465</v>
      </c>
      <c r="B573" s="1" t="s">
        <v>4450</v>
      </c>
      <c r="C573" s="1" t="s">
        <v>4468</v>
      </c>
      <c r="D573" s="1" t="s">
        <v>4451</v>
      </c>
      <c r="E573" s="1" t="s">
        <v>4594</v>
      </c>
      <c r="F573" s="1" t="s">
        <v>14</v>
      </c>
      <c r="G573" s="4" t="str">
        <f>"07036"</f>
        <v>07036</v>
      </c>
      <c r="H573" s="1">
        <v>42</v>
      </c>
      <c r="I573" s="1">
        <v>9.4</v>
      </c>
      <c r="J573" s="1">
        <v>0</v>
      </c>
      <c r="K573" s="1">
        <v>71</v>
      </c>
      <c r="L573" s="1" t="s">
        <v>444</v>
      </c>
      <c r="M573" s="1" t="s">
        <v>4466</v>
      </c>
      <c r="N573" s="1" t="s">
        <v>12</v>
      </c>
      <c r="O573" s="1" t="s">
        <v>4467</v>
      </c>
    </row>
    <row r="574" spans="1:15" x14ac:dyDescent="0.4">
      <c r="A574" s="1" t="s">
        <v>4469</v>
      </c>
      <c r="B574" s="1" t="s">
        <v>4450</v>
      </c>
      <c r="C574" s="1" t="s">
        <v>4472</v>
      </c>
      <c r="D574" s="1" t="s">
        <v>4451</v>
      </c>
      <c r="E574" s="1" t="s">
        <v>4594</v>
      </c>
      <c r="F574" s="1" t="s">
        <v>14</v>
      </c>
      <c r="G574" s="4" t="str">
        <f>"07036"</f>
        <v>07036</v>
      </c>
      <c r="H574" s="1">
        <v>61</v>
      </c>
      <c r="I574" s="1">
        <v>19.100000000000001</v>
      </c>
      <c r="J574" s="1">
        <v>0</v>
      </c>
      <c r="K574" s="1">
        <v>50</v>
      </c>
      <c r="L574" s="1" t="s">
        <v>1465</v>
      </c>
      <c r="M574" s="1" t="s">
        <v>4470</v>
      </c>
      <c r="N574" s="1" t="s">
        <v>12</v>
      </c>
      <c r="O574" s="1" t="s">
        <v>4471</v>
      </c>
    </row>
    <row r="575" spans="1:15" x14ac:dyDescent="0.4">
      <c r="A575" s="1" t="s">
        <v>4473</v>
      </c>
      <c r="B575" s="1" t="s">
        <v>4450</v>
      </c>
      <c r="C575" s="1" t="s">
        <v>4475</v>
      </c>
      <c r="D575" s="1" t="s">
        <v>4451</v>
      </c>
      <c r="E575" s="1" t="s">
        <v>4594</v>
      </c>
      <c r="F575" s="1" t="s">
        <v>14</v>
      </c>
      <c r="G575" s="4" t="str">
        <f>"07036"</f>
        <v>07036</v>
      </c>
      <c r="H575" s="1">
        <v>30</v>
      </c>
      <c r="I575" s="1">
        <v>9.4</v>
      </c>
      <c r="J575" s="1">
        <v>0</v>
      </c>
      <c r="K575" s="1">
        <v>52</v>
      </c>
      <c r="L575" s="1" t="s">
        <v>176</v>
      </c>
      <c r="M575" s="1" t="s">
        <v>1500</v>
      </c>
      <c r="N575" s="1" t="s">
        <v>12</v>
      </c>
      <c r="O575" s="1" t="s">
        <v>4474</v>
      </c>
    </row>
    <row r="576" spans="1:15" x14ac:dyDescent="0.4">
      <c r="A576" s="1" t="s">
        <v>4476</v>
      </c>
      <c r="B576" s="1" t="s">
        <v>4450</v>
      </c>
      <c r="C576" s="1" t="s">
        <v>4478</v>
      </c>
      <c r="D576" s="1" t="s">
        <v>4451</v>
      </c>
      <c r="E576" s="1" t="s">
        <v>4594</v>
      </c>
      <c r="F576" s="1" t="s">
        <v>14</v>
      </c>
      <c r="G576" s="4" t="str">
        <f>"07036-5058"</f>
        <v>07036-5058</v>
      </c>
      <c r="H576" s="1">
        <v>28</v>
      </c>
      <c r="I576" s="1">
        <v>8.4</v>
      </c>
      <c r="J576" s="1">
        <v>0</v>
      </c>
      <c r="K576" s="1">
        <v>55</v>
      </c>
      <c r="L576" s="1" t="s">
        <v>272</v>
      </c>
      <c r="M576" s="1" t="s">
        <v>715</v>
      </c>
      <c r="N576" s="1" t="s">
        <v>12</v>
      </c>
      <c r="O576" s="1" t="s">
        <v>4477</v>
      </c>
    </row>
    <row r="577" spans="1:15" x14ac:dyDescent="0.4">
      <c r="A577" s="1" t="s">
        <v>4479</v>
      </c>
      <c r="B577" s="1" t="s">
        <v>4450</v>
      </c>
      <c r="C577" s="1" t="s">
        <v>4482</v>
      </c>
      <c r="D577" s="1" t="s">
        <v>4451</v>
      </c>
      <c r="E577" s="1" t="s">
        <v>4594</v>
      </c>
      <c r="F577" s="1" t="s">
        <v>14</v>
      </c>
      <c r="G577" s="4" t="str">
        <f>"07036"</f>
        <v>07036</v>
      </c>
      <c r="H577" s="1">
        <v>46</v>
      </c>
      <c r="I577" s="1">
        <v>14.8</v>
      </c>
      <c r="J577" s="1">
        <v>0</v>
      </c>
      <c r="K577" s="1">
        <v>45</v>
      </c>
      <c r="L577" s="1" t="s">
        <v>146</v>
      </c>
      <c r="M577" s="1" t="s">
        <v>4480</v>
      </c>
      <c r="N577" s="1" t="s">
        <v>12</v>
      </c>
      <c r="O577" s="1" t="s">
        <v>4481</v>
      </c>
    </row>
    <row r="578" spans="1:15" x14ac:dyDescent="0.4">
      <c r="A578" s="1" t="s">
        <v>456</v>
      </c>
      <c r="B578" s="1" t="s">
        <v>449</v>
      </c>
      <c r="C578" s="1" t="s">
        <v>460</v>
      </c>
      <c r="D578" s="1" t="s">
        <v>451</v>
      </c>
      <c r="E578" s="1" t="s">
        <v>4675</v>
      </c>
      <c r="F578" s="1" t="s">
        <v>14</v>
      </c>
      <c r="G578" s="4" t="str">
        <f>"07022"</f>
        <v>07022</v>
      </c>
      <c r="H578" s="1">
        <v>28</v>
      </c>
      <c r="I578" s="1">
        <v>4.2</v>
      </c>
      <c r="J578" s="1">
        <v>0</v>
      </c>
      <c r="K578" s="1">
        <v>5</v>
      </c>
      <c r="L578" s="1" t="s">
        <v>457</v>
      </c>
      <c r="M578" s="1" t="s">
        <v>458</v>
      </c>
      <c r="N578" s="1" t="s">
        <v>12</v>
      </c>
      <c r="O578" s="1" t="s">
        <v>459</v>
      </c>
    </row>
    <row r="579" spans="1:15" x14ac:dyDescent="0.4">
      <c r="A579" s="1" t="s">
        <v>2266</v>
      </c>
      <c r="B579" s="1" t="s">
        <v>2261</v>
      </c>
      <c r="C579" s="1" t="s">
        <v>2270</v>
      </c>
      <c r="D579" s="1" t="s">
        <v>94</v>
      </c>
      <c r="E579" s="1" t="s">
        <v>4677</v>
      </c>
      <c r="F579" s="1" t="s">
        <v>14</v>
      </c>
      <c r="G579" s="4" t="str">
        <f>"08094"</f>
        <v>08094</v>
      </c>
      <c r="H579" s="1">
        <v>115</v>
      </c>
      <c r="I579" s="1">
        <v>17.100000000000001</v>
      </c>
      <c r="J579" s="1">
        <v>0</v>
      </c>
      <c r="K579" s="1">
        <v>120</v>
      </c>
      <c r="L579" s="1" t="s">
        <v>2267</v>
      </c>
      <c r="M579" s="1" t="s">
        <v>2268</v>
      </c>
      <c r="N579" s="1" t="s">
        <v>12</v>
      </c>
      <c r="O579" s="1" t="s">
        <v>2269</v>
      </c>
    </row>
    <row r="580" spans="1:15" x14ac:dyDescent="0.4">
      <c r="A580" s="1" t="s">
        <v>1426</v>
      </c>
      <c r="B580" s="1" t="s">
        <v>1425</v>
      </c>
      <c r="C580" s="1" t="s">
        <v>1429</v>
      </c>
      <c r="D580" s="1" t="s">
        <v>1383</v>
      </c>
      <c r="E580" s="1" t="s">
        <v>1271</v>
      </c>
      <c r="F580" s="1" t="s">
        <v>14</v>
      </c>
      <c r="G580" s="4" t="str">
        <f>"08107"</f>
        <v>08107</v>
      </c>
      <c r="H580" s="1">
        <v>61</v>
      </c>
      <c r="I580" s="1">
        <v>22.3</v>
      </c>
      <c r="J580" s="1">
        <v>0</v>
      </c>
      <c r="K580" s="1">
        <v>34</v>
      </c>
      <c r="L580" s="1" t="s">
        <v>40</v>
      </c>
      <c r="M580" s="1" t="s">
        <v>1427</v>
      </c>
      <c r="N580" s="1" t="s">
        <v>12</v>
      </c>
      <c r="O580" s="1" t="s">
        <v>1428</v>
      </c>
    </row>
    <row r="581" spans="1:15" x14ac:dyDescent="0.4">
      <c r="A581" s="1" t="s">
        <v>2319</v>
      </c>
      <c r="B581" s="1" t="s">
        <v>2312</v>
      </c>
      <c r="C581" s="1" t="s">
        <v>2322</v>
      </c>
      <c r="D581" s="1" t="s">
        <v>2323</v>
      </c>
      <c r="E581" s="1" t="s">
        <v>4677</v>
      </c>
      <c r="F581" s="1" t="s">
        <v>14</v>
      </c>
      <c r="G581" s="4" t="str">
        <f>"08096"</f>
        <v>08096</v>
      </c>
      <c r="H581" s="1">
        <v>48</v>
      </c>
      <c r="I581" s="1">
        <v>10.1</v>
      </c>
      <c r="J581" s="1">
        <v>0</v>
      </c>
      <c r="K581" s="1">
        <v>144</v>
      </c>
      <c r="L581" s="1" t="s">
        <v>230</v>
      </c>
      <c r="M581" s="1" t="s">
        <v>2320</v>
      </c>
      <c r="N581" s="1" t="s">
        <v>12</v>
      </c>
      <c r="O581" s="1" t="s">
        <v>2321</v>
      </c>
    </row>
    <row r="582" spans="1:15" x14ac:dyDescent="0.4">
      <c r="A582" s="1" t="s">
        <v>2149</v>
      </c>
      <c r="B582" s="1" t="s">
        <v>2136</v>
      </c>
      <c r="C582" s="1" t="s">
        <v>2152</v>
      </c>
      <c r="D582" s="1" t="s">
        <v>2138</v>
      </c>
      <c r="E582" s="1" t="s">
        <v>4681</v>
      </c>
      <c r="F582" s="1" t="s">
        <v>14</v>
      </c>
      <c r="G582" s="4" t="str">
        <f>"07050-3909"</f>
        <v>07050-3909</v>
      </c>
      <c r="H582" s="1">
        <v>77</v>
      </c>
      <c r="I582" s="1">
        <v>28.3</v>
      </c>
      <c r="J582" s="1">
        <v>0</v>
      </c>
      <c r="K582" s="1">
        <v>18</v>
      </c>
      <c r="L582" s="1" t="s">
        <v>360</v>
      </c>
      <c r="M582" s="1" t="s">
        <v>2150</v>
      </c>
      <c r="N582" s="1" t="s">
        <v>12</v>
      </c>
      <c r="O582" s="1" t="s">
        <v>2151</v>
      </c>
    </row>
    <row r="583" spans="1:15" x14ac:dyDescent="0.4">
      <c r="A583" s="1" t="s">
        <v>1522</v>
      </c>
      <c r="B583" s="1" t="s">
        <v>1517</v>
      </c>
      <c r="C583" s="1" t="s">
        <v>1520</v>
      </c>
      <c r="D583" s="1" t="s">
        <v>1521</v>
      </c>
      <c r="E583" s="1" t="s">
        <v>4678</v>
      </c>
      <c r="F583" s="1" t="s">
        <v>14</v>
      </c>
      <c r="G583" s="4" t="str">
        <f>"08210"</f>
        <v>08210</v>
      </c>
      <c r="H583" s="1">
        <v>14</v>
      </c>
      <c r="I583" s="1">
        <v>9</v>
      </c>
      <c r="J583" s="1">
        <v>0</v>
      </c>
      <c r="K583" s="1">
        <v>16</v>
      </c>
      <c r="L583" s="1" t="s">
        <v>505</v>
      </c>
      <c r="M583" s="1" t="s">
        <v>1518</v>
      </c>
      <c r="N583" s="1" t="s">
        <v>105</v>
      </c>
      <c r="O583" s="1" t="s">
        <v>1519</v>
      </c>
    </row>
    <row r="584" spans="1:15" x14ac:dyDescent="0.4">
      <c r="A584" s="1" t="s">
        <v>3821</v>
      </c>
      <c r="B584" s="1" t="s">
        <v>3818</v>
      </c>
      <c r="C584" s="1" t="s">
        <v>3823</v>
      </c>
      <c r="D584" s="1" t="s">
        <v>3820</v>
      </c>
      <c r="E584" s="1" t="s">
        <v>4685</v>
      </c>
      <c r="F584" s="1" t="s">
        <v>14</v>
      </c>
      <c r="G584" s="4" t="str">
        <f>"08050"</f>
        <v>08050</v>
      </c>
      <c r="H584" s="1">
        <v>120</v>
      </c>
      <c r="I584" s="1">
        <v>16.100000000000001</v>
      </c>
      <c r="J584" s="1">
        <v>0</v>
      </c>
      <c r="K584" s="1">
        <v>1</v>
      </c>
      <c r="L584" s="1" t="s">
        <v>247</v>
      </c>
      <c r="M584" s="1" t="s">
        <v>4700</v>
      </c>
      <c r="N584" s="1" t="s">
        <v>12</v>
      </c>
      <c r="O584" s="1" t="s">
        <v>3822</v>
      </c>
    </row>
    <row r="585" spans="1:15" x14ac:dyDescent="0.4">
      <c r="A585" s="1" t="s">
        <v>3323</v>
      </c>
      <c r="B585" s="1" t="s">
        <v>3312</v>
      </c>
      <c r="C585" s="1" t="s">
        <v>3327</v>
      </c>
      <c r="D585" s="1" t="s">
        <v>3328</v>
      </c>
      <c r="E585" s="1" t="s">
        <v>4684</v>
      </c>
      <c r="F585" s="1" t="s">
        <v>14</v>
      </c>
      <c r="G585" s="4" t="str">
        <f>"07748-2798"</f>
        <v>07748-2798</v>
      </c>
      <c r="H585" s="1">
        <v>40</v>
      </c>
      <c r="I585" s="1">
        <v>14.1</v>
      </c>
      <c r="J585" s="1">
        <v>0</v>
      </c>
      <c r="K585" s="1">
        <v>47</v>
      </c>
      <c r="L585" s="1" t="s">
        <v>3324</v>
      </c>
      <c r="M585" s="1" t="s">
        <v>3325</v>
      </c>
      <c r="N585" s="1" t="s">
        <v>12</v>
      </c>
      <c r="O585" s="1" t="s">
        <v>3326</v>
      </c>
    </row>
    <row r="586" spans="1:15" x14ac:dyDescent="0.4">
      <c r="A586" s="1" t="s">
        <v>1555</v>
      </c>
      <c r="B586" s="1" t="s">
        <v>1553</v>
      </c>
      <c r="C586" s="1" t="s">
        <v>1557</v>
      </c>
      <c r="D586" s="1" t="s">
        <v>1554</v>
      </c>
      <c r="E586" s="1" t="s">
        <v>4678</v>
      </c>
      <c r="F586" s="1" t="s">
        <v>14</v>
      </c>
      <c r="G586" s="4" t="str">
        <f>"08226"</f>
        <v>08226</v>
      </c>
      <c r="H586" s="1">
        <v>57</v>
      </c>
      <c r="I586" s="1">
        <v>21</v>
      </c>
      <c r="J586" s="1">
        <v>0</v>
      </c>
      <c r="K586" s="1">
        <v>55</v>
      </c>
      <c r="L586" s="1" t="s">
        <v>1354</v>
      </c>
      <c r="M586" s="1" t="s">
        <v>365</v>
      </c>
      <c r="N586" s="1" t="s">
        <v>12</v>
      </c>
      <c r="O586" s="1" t="s">
        <v>1556</v>
      </c>
    </row>
    <row r="587" spans="1:15" x14ac:dyDescent="0.4">
      <c r="A587" s="1" t="s">
        <v>3786</v>
      </c>
      <c r="B587" s="1" t="s">
        <v>3785</v>
      </c>
      <c r="C587" s="1" t="s">
        <v>3789</v>
      </c>
      <c r="D587" s="1" t="s">
        <v>3790</v>
      </c>
      <c r="E587" s="1" t="s">
        <v>4685</v>
      </c>
      <c r="F587" s="1" t="s">
        <v>14</v>
      </c>
      <c r="G587" s="4" t="str">
        <f>"08740-0478"</f>
        <v>08740-0478</v>
      </c>
      <c r="H587" s="1">
        <v>27</v>
      </c>
      <c r="I587" s="1">
        <v>19.100000000000001</v>
      </c>
      <c r="J587" s="1">
        <v>0</v>
      </c>
      <c r="K587" s="1">
        <v>18</v>
      </c>
      <c r="L587" s="1" t="s">
        <v>1535</v>
      </c>
      <c r="M587" s="1" t="s">
        <v>3787</v>
      </c>
      <c r="N587" s="1" t="s">
        <v>12</v>
      </c>
      <c r="O587" s="1" t="s">
        <v>3788</v>
      </c>
    </row>
    <row r="588" spans="1:15" x14ac:dyDescent="0.4">
      <c r="A588" s="1" t="s">
        <v>3808</v>
      </c>
      <c r="B588" s="1" t="s">
        <v>3802</v>
      </c>
      <c r="C588" s="1" t="s">
        <v>3811</v>
      </c>
      <c r="D588" s="1" t="s">
        <v>3803</v>
      </c>
      <c r="E588" s="1" t="s">
        <v>4685</v>
      </c>
      <c r="F588" s="1" t="s">
        <v>14</v>
      </c>
      <c r="G588" s="4" t="str">
        <f>"08742"</f>
        <v>08742</v>
      </c>
      <c r="H588" s="1">
        <v>4</v>
      </c>
      <c r="I588" s="1">
        <v>0.8</v>
      </c>
      <c r="J588" s="1">
        <v>0</v>
      </c>
      <c r="K588" s="1">
        <v>76</v>
      </c>
      <c r="L588" s="1" t="s">
        <v>1089</v>
      </c>
      <c r="M588" s="1" t="s">
        <v>3809</v>
      </c>
      <c r="N588" s="1" t="s">
        <v>12</v>
      </c>
      <c r="O588" s="1" t="s">
        <v>3810</v>
      </c>
    </row>
    <row r="589" spans="1:15" x14ac:dyDescent="0.4">
      <c r="A589" s="1" t="s">
        <v>3401</v>
      </c>
      <c r="B589" s="1" t="s">
        <v>3400</v>
      </c>
      <c r="C589" s="1" t="s">
        <v>3404</v>
      </c>
      <c r="D589" s="1" t="s">
        <v>3405</v>
      </c>
      <c r="E589" s="1" t="s">
        <v>4684</v>
      </c>
      <c r="F589" s="1" t="s">
        <v>14</v>
      </c>
      <c r="G589" s="4" t="str">
        <f>"07755-1199"</f>
        <v>07755-1199</v>
      </c>
      <c r="H589" s="1">
        <v>97</v>
      </c>
      <c r="I589" s="1">
        <v>23.7</v>
      </c>
      <c r="J589" s="1">
        <v>0</v>
      </c>
      <c r="K589" s="1">
        <v>72</v>
      </c>
      <c r="L589" s="1" t="s">
        <v>199</v>
      </c>
      <c r="M589" s="1" t="s">
        <v>3402</v>
      </c>
      <c r="N589" s="1" t="s">
        <v>12</v>
      </c>
      <c r="O589" s="1" t="s">
        <v>3403</v>
      </c>
    </row>
    <row r="590" spans="1:15" x14ac:dyDescent="0.4">
      <c r="A590" s="1" t="s">
        <v>1272</v>
      </c>
      <c r="B590" s="1" t="s">
        <v>1254</v>
      </c>
      <c r="C590" s="1" t="s">
        <v>1276</v>
      </c>
      <c r="D590" s="1" t="s">
        <v>1212</v>
      </c>
      <c r="E590" s="1" t="s">
        <v>1271</v>
      </c>
      <c r="F590" s="1" t="s">
        <v>14</v>
      </c>
      <c r="G590" s="4" t="str">
        <f>"08105"</f>
        <v>08105</v>
      </c>
      <c r="H590" s="1">
        <v>59</v>
      </c>
      <c r="I590" s="1">
        <v>9.9</v>
      </c>
      <c r="J590" s="1">
        <v>0</v>
      </c>
      <c r="K590" s="1">
        <v>63</v>
      </c>
      <c r="L590" s="1" t="s">
        <v>1273</v>
      </c>
      <c r="M590" s="1" t="s">
        <v>1274</v>
      </c>
      <c r="N590" s="1" t="s">
        <v>12</v>
      </c>
      <c r="O590" s="1" t="s">
        <v>1275</v>
      </c>
    </row>
    <row r="591" spans="1:15" x14ac:dyDescent="0.4">
      <c r="A591" s="1" t="s">
        <v>4308</v>
      </c>
      <c r="B591" s="1" t="s">
        <v>4307</v>
      </c>
      <c r="C591" s="1" t="s">
        <v>4311</v>
      </c>
      <c r="D591" s="1" t="s">
        <v>4312</v>
      </c>
      <c r="E591" s="1" t="s">
        <v>4687</v>
      </c>
      <c r="F591" s="1" t="s">
        <v>14</v>
      </c>
      <c r="G591" s="4" t="str">
        <f>"07439"</f>
        <v>07439</v>
      </c>
      <c r="H591" s="1">
        <v>47</v>
      </c>
      <c r="I591" s="1">
        <v>16.899999999999999</v>
      </c>
      <c r="J591" s="1">
        <v>0</v>
      </c>
      <c r="K591" s="1">
        <v>14</v>
      </c>
      <c r="L591" s="1" t="s">
        <v>132</v>
      </c>
      <c r="M591" s="1" t="s">
        <v>4309</v>
      </c>
      <c r="N591" s="1" t="s">
        <v>134</v>
      </c>
      <c r="O591" s="1" t="s">
        <v>4310</v>
      </c>
    </row>
    <row r="592" spans="1:15" x14ac:dyDescent="0.4">
      <c r="A592" s="1" t="s">
        <v>3642</v>
      </c>
      <c r="B592" s="1" t="s">
        <v>2308</v>
      </c>
      <c r="C592" s="1" t="s">
        <v>3645</v>
      </c>
      <c r="D592" s="1" t="s">
        <v>3637</v>
      </c>
      <c r="E592" s="1" t="s">
        <v>1033</v>
      </c>
      <c r="F592" s="1" t="s">
        <v>14</v>
      </c>
      <c r="G592" s="4" t="str">
        <f>"07853"</f>
        <v>07853</v>
      </c>
      <c r="H592" s="1">
        <v>20</v>
      </c>
      <c r="I592" s="1">
        <v>5.8</v>
      </c>
      <c r="J592" s="1">
        <v>0</v>
      </c>
      <c r="K592" s="1">
        <v>43</v>
      </c>
      <c r="L592" s="1" t="s">
        <v>264</v>
      </c>
      <c r="M592" s="1" t="s">
        <v>3643</v>
      </c>
      <c r="N592" s="1" t="s">
        <v>12</v>
      </c>
      <c r="O592" s="1" t="s">
        <v>3644</v>
      </c>
    </row>
    <row r="593" spans="1:15" x14ac:dyDescent="0.4">
      <c r="A593" s="1" t="s">
        <v>4057</v>
      </c>
      <c r="B593" s="1" t="s">
        <v>4056</v>
      </c>
      <c r="C593" s="1" t="s">
        <v>4060</v>
      </c>
      <c r="D593" s="1" t="s">
        <v>4061</v>
      </c>
      <c r="E593" s="1" t="s">
        <v>4686</v>
      </c>
      <c r="F593" s="1" t="s">
        <v>14</v>
      </c>
      <c r="G593" s="4" t="str">
        <f>"08067-9610"</f>
        <v>08067-9610</v>
      </c>
      <c r="H593" s="1">
        <v>15</v>
      </c>
      <c r="I593" s="1">
        <v>4.9000000000000004</v>
      </c>
      <c r="J593" s="1">
        <v>0</v>
      </c>
      <c r="K593" s="1">
        <v>33</v>
      </c>
      <c r="L593" s="1" t="s">
        <v>368</v>
      </c>
      <c r="M593" s="1" t="s">
        <v>4058</v>
      </c>
      <c r="N593" s="1" t="s">
        <v>134</v>
      </c>
      <c r="O593" s="1" t="s">
        <v>4059</v>
      </c>
    </row>
    <row r="594" spans="1:15" x14ac:dyDescent="0.4">
      <c r="A594" s="1" t="s">
        <v>2069</v>
      </c>
      <c r="B594" s="1" t="s">
        <v>1952</v>
      </c>
      <c r="C594" s="1" t="s">
        <v>2072</v>
      </c>
      <c r="D594" s="1" t="s">
        <v>1610</v>
      </c>
      <c r="E594" s="1" t="s">
        <v>4681</v>
      </c>
      <c r="F594" s="1" t="s">
        <v>14</v>
      </c>
      <c r="G594" s="4" t="str">
        <f>"07105"</f>
        <v>07105</v>
      </c>
      <c r="H594" s="1">
        <v>89</v>
      </c>
      <c r="I594" s="1">
        <v>8.6</v>
      </c>
      <c r="J594" s="1">
        <v>0</v>
      </c>
      <c r="K594" s="1">
        <v>92</v>
      </c>
      <c r="L594" s="1" t="s">
        <v>389</v>
      </c>
      <c r="M594" s="1" t="s">
        <v>2070</v>
      </c>
      <c r="N594" s="1" t="s">
        <v>12</v>
      </c>
      <c r="O594" s="1" t="s">
        <v>2071</v>
      </c>
    </row>
    <row r="595" spans="1:15" x14ac:dyDescent="0.4">
      <c r="A595" s="1" t="s">
        <v>4711</v>
      </c>
      <c r="B595" s="1" t="s">
        <v>2416</v>
      </c>
      <c r="C595" s="1" t="s">
        <v>2495</v>
      </c>
      <c r="D595" s="1" t="s">
        <v>1624</v>
      </c>
      <c r="E595" s="1" t="s">
        <v>2239</v>
      </c>
      <c r="F595" s="1" t="s">
        <v>14</v>
      </c>
      <c r="G595" s="4" t="str">
        <f>"07304-2317"</f>
        <v>07304-2317</v>
      </c>
      <c r="H595" s="1">
        <v>39</v>
      </c>
      <c r="I595" s="1">
        <v>11.6</v>
      </c>
      <c r="J595" s="1">
        <v>0</v>
      </c>
      <c r="K595" s="1">
        <v>34</v>
      </c>
      <c r="L595" s="1" t="s">
        <v>75</v>
      </c>
      <c r="M595" s="1" t="s">
        <v>2493</v>
      </c>
      <c r="N595" s="1" t="s">
        <v>12</v>
      </c>
      <c r="O595" s="1" t="s">
        <v>2494</v>
      </c>
    </row>
    <row r="596" spans="1:15" x14ac:dyDescent="0.4">
      <c r="A596" s="1" t="s">
        <v>2153</v>
      </c>
      <c r="B596" s="1" t="s">
        <v>2136</v>
      </c>
      <c r="C596" s="1" t="s">
        <v>2156</v>
      </c>
      <c r="D596" s="1" t="s">
        <v>2137</v>
      </c>
      <c r="E596" s="1" t="s">
        <v>4681</v>
      </c>
      <c r="F596" s="1" t="s">
        <v>14</v>
      </c>
      <c r="G596" s="4" t="str">
        <f>"07050"</f>
        <v>07050</v>
      </c>
      <c r="H596" s="1">
        <v>195</v>
      </c>
      <c r="I596" s="1">
        <v>100</v>
      </c>
      <c r="J596" s="1">
        <v>0</v>
      </c>
      <c r="K596" s="1">
        <v>0</v>
      </c>
      <c r="L596" s="1" t="s">
        <v>290</v>
      </c>
      <c r="M596" s="1" t="s">
        <v>2154</v>
      </c>
      <c r="N596" s="1" t="s">
        <v>12</v>
      </c>
      <c r="O596" s="1" t="s">
        <v>2155</v>
      </c>
    </row>
    <row r="597" spans="1:15" x14ac:dyDescent="0.4">
      <c r="A597" s="1" t="s">
        <v>4201</v>
      </c>
      <c r="B597" s="1" t="s">
        <v>4199</v>
      </c>
      <c r="C597" s="1" t="s">
        <v>4204</v>
      </c>
      <c r="D597" s="1" t="s">
        <v>4200</v>
      </c>
      <c r="E597" s="1" t="s">
        <v>1597</v>
      </c>
      <c r="F597" s="1" t="s">
        <v>14</v>
      </c>
      <c r="G597" s="4" t="str">
        <f>"08558"</f>
        <v>08558</v>
      </c>
      <c r="H597" s="1">
        <v>14</v>
      </c>
      <c r="I597" s="1">
        <v>1.9</v>
      </c>
      <c r="J597" s="1">
        <v>0</v>
      </c>
      <c r="K597" s="1">
        <v>228</v>
      </c>
      <c r="L597" s="1" t="s">
        <v>174</v>
      </c>
      <c r="M597" s="1" t="s">
        <v>4202</v>
      </c>
      <c r="N597" s="1" t="s">
        <v>12</v>
      </c>
      <c r="O597" s="1" t="s">
        <v>4203</v>
      </c>
    </row>
    <row r="598" spans="1:15" x14ac:dyDescent="0.4">
      <c r="A598" s="1" t="s">
        <v>4646</v>
      </c>
      <c r="B598" s="1" t="s">
        <v>4645</v>
      </c>
      <c r="C598" s="1" t="s">
        <v>4649</v>
      </c>
      <c r="D598" s="1" t="s">
        <v>4650</v>
      </c>
      <c r="E598" s="1" t="s">
        <v>76</v>
      </c>
      <c r="F598" s="1" t="s">
        <v>14</v>
      </c>
      <c r="G598" s="4" t="str">
        <f>"07863-0510"</f>
        <v>07863-0510</v>
      </c>
      <c r="H598" s="1">
        <v>35</v>
      </c>
      <c r="I598" s="1">
        <v>13.4</v>
      </c>
      <c r="J598" s="1">
        <v>0</v>
      </c>
      <c r="K598" s="1">
        <v>22</v>
      </c>
      <c r="L598" s="1" t="s">
        <v>368</v>
      </c>
      <c r="M598" s="1" t="s">
        <v>4647</v>
      </c>
      <c r="N598" s="1" t="s">
        <v>134</v>
      </c>
      <c r="O598" s="1" t="s">
        <v>4648</v>
      </c>
    </row>
    <row r="599" spans="1:15" x14ac:dyDescent="0.4">
      <c r="A599" s="1" t="s">
        <v>3824</v>
      </c>
      <c r="B599" s="1" t="s">
        <v>3818</v>
      </c>
      <c r="C599" s="1" t="s">
        <v>3827</v>
      </c>
      <c r="D599" s="1" t="s">
        <v>3820</v>
      </c>
      <c r="E599" s="1" t="s">
        <v>4685</v>
      </c>
      <c r="F599" s="1" t="s">
        <v>14</v>
      </c>
      <c r="G599" s="4" t="str">
        <f>"08050-3011"</f>
        <v>08050-3011</v>
      </c>
      <c r="H599" s="1">
        <v>176</v>
      </c>
      <c r="I599" s="1">
        <v>100</v>
      </c>
      <c r="J599" s="1">
        <v>0</v>
      </c>
      <c r="K599" s="1">
        <v>0</v>
      </c>
      <c r="L599" s="1" t="s">
        <v>317</v>
      </c>
      <c r="M599" s="1" t="s">
        <v>3825</v>
      </c>
      <c r="N599" s="1" t="s">
        <v>1523</v>
      </c>
      <c r="O599" s="1" t="s">
        <v>3826</v>
      </c>
    </row>
    <row r="600" spans="1:15" x14ac:dyDescent="0.4">
      <c r="A600" s="1" t="s">
        <v>769</v>
      </c>
      <c r="B600" s="1" t="s">
        <v>762</v>
      </c>
      <c r="C600" s="1" t="s">
        <v>773</v>
      </c>
      <c r="D600" s="1" t="s">
        <v>300</v>
      </c>
      <c r="E600" s="1" t="s">
        <v>4675</v>
      </c>
      <c r="F600" s="1" t="s">
        <v>14</v>
      </c>
      <c r="G600" s="4" t="str">
        <f>"07652"</f>
        <v>07652</v>
      </c>
      <c r="H600" s="1">
        <v>43</v>
      </c>
      <c r="I600" s="1">
        <v>3.7</v>
      </c>
      <c r="J600" s="1">
        <v>0</v>
      </c>
      <c r="K600" s="1">
        <v>0</v>
      </c>
      <c r="L600" s="1" t="s">
        <v>770</v>
      </c>
      <c r="M600" s="1" t="s">
        <v>771</v>
      </c>
      <c r="N600" s="1" t="s">
        <v>12</v>
      </c>
      <c r="O600" s="1" t="s">
        <v>772</v>
      </c>
    </row>
    <row r="601" spans="1:15" x14ac:dyDescent="0.4">
      <c r="A601" s="1" t="s">
        <v>2157</v>
      </c>
      <c r="B601" s="1" t="s">
        <v>2136</v>
      </c>
      <c r="C601" s="1" t="s">
        <v>2159</v>
      </c>
      <c r="D601" s="1" t="s">
        <v>2138</v>
      </c>
      <c r="E601" s="1" t="s">
        <v>4681</v>
      </c>
      <c r="F601" s="1" t="s">
        <v>14</v>
      </c>
      <c r="G601" s="4" t="str">
        <f>"07050-4102"</f>
        <v>07050-4102</v>
      </c>
      <c r="H601" s="1">
        <v>24</v>
      </c>
      <c r="I601" s="1">
        <v>5.7</v>
      </c>
      <c r="J601" s="1">
        <v>0</v>
      </c>
      <c r="K601" s="1">
        <v>47</v>
      </c>
      <c r="L601" s="1" t="s">
        <v>653</v>
      </c>
      <c r="M601" s="1" t="s">
        <v>1545</v>
      </c>
      <c r="N601" s="1" t="s">
        <v>12</v>
      </c>
      <c r="O601" s="1" t="s">
        <v>2158</v>
      </c>
    </row>
    <row r="602" spans="1:15" x14ac:dyDescent="0.4">
      <c r="A602" s="1" t="s">
        <v>2157</v>
      </c>
      <c r="B602" s="1" t="s">
        <v>3198</v>
      </c>
      <c r="C602" s="1" t="s">
        <v>3206</v>
      </c>
      <c r="D602" s="1" t="s">
        <v>3203</v>
      </c>
      <c r="E602" s="1" t="s">
        <v>4681</v>
      </c>
      <c r="F602" s="1" t="s">
        <v>14</v>
      </c>
      <c r="G602" s="4" t="str">
        <f>"07728-2006"</f>
        <v>07728-2006</v>
      </c>
      <c r="H602" s="1">
        <v>24</v>
      </c>
      <c r="I602" s="1">
        <v>5.7</v>
      </c>
      <c r="J602" s="1">
        <v>0</v>
      </c>
      <c r="K602" s="1">
        <v>47</v>
      </c>
      <c r="L602" s="1" t="s">
        <v>470</v>
      </c>
      <c r="M602" s="1" t="s">
        <v>3204</v>
      </c>
      <c r="N602" s="1" t="s">
        <v>12</v>
      </c>
      <c r="O602" s="1" t="s">
        <v>3205</v>
      </c>
    </row>
    <row r="603" spans="1:15" x14ac:dyDescent="0.4">
      <c r="A603" s="1" t="s">
        <v>2074</v>
      </c>
      <c r="B603" s="1" t="s">
        <v>1952</v>
      </c>
      <c r="C603" s="1" t="s">
        <v>2077</v>
      </c>
      <c r="D603" s="1" t="s">
        <v>1389</v>
      </c>
      <c r="E603" s="1" t="s">
        <v>4681</v>
      </c>
      <c r="F603" s="1" t="s">
        <v>14</v>
      </c>
      <c r="G603" s="4" t="str">
        <f>"07104"</f>
        <v>07104</v>
      </c>
      <c r="H603" s="1">
        <v>48</v>
      </c>
      <c r="I603" s="1">
        <v>6.4</v>
      </c>
      <c r="J603" s="1">
        <v>0</v>
      </c>
      <c r="K603" s="1">
        <v>76</v>
      </c>
      <c r="L603" s="1" t="s">
        <v>364</v>
      </c>
      <c r="M603" s="1" t="s">
        <v>2075</v>
      </c>
      <c r="N603" s="1" t="s">
        <v>12</v>
      </c>
      <c r="O603" s="1" t="s">
        <v>2076</v>
      </c>
    </row>
    <row r="604" spans="1:15" x14ac:dyDescent="0.4">
      <c r="A604" s="1" t="s">
        <v>2966</v>
      </c>
      <c r="B604" s="1" t="s">
        <v>2965</v>
      </c>
      <c r="C604" s="1" t="s">
        <v>2969</v>
      </c>
      <c r="D604" s="1" t="s">
        <v>2970</v>
      </c>
      <c r="E604" s="1" t="s">
        <v>2962</v>
      </c>
      <c r="F604" s="1" t="s">
        <v>14</v>
      </c>
      <c r="G604" s="4" t="str">
        <f>"08850"</f>
        <v>08850</v>
      </c>
      <c r="H604" s="1">
        <v>8</v>
      </c>
      <c r="I604" s="1">
        <v>2.4</v>
      </c>
      <c r="J604" s="1">
        <v>0</v>
      </c>
      <c r="K604" s="1">
        <v>66</v>
      </c>
      <c r="L604" s="1" t="s">
        <v>538</v>
      </c>
      <c r="M604" s="1" t="s">
        <v>2967</v>
      </c>
      <c r="N604" s="1" t="s">
        <v>12</v>
      </c>
      <c r="O604" s="1" t="s">
        <v>2968</v>
      </c>
    </row>
    <row r="605" spans="1:15" x14ac:dyDescent="0.4">
      <c r="A605" s="1" t="s">
        <v>1460</v>
      </c>
      <c r="B605" s="1" t="s">
        <v>1459</v>
      </c>
      <c r="C605" s="1" t="s">
        <v>1463</v>
      </c>
      <c r="D605" s="1" t="s">
        <v>1464</v>
      </c>
      <c r="E605" s="1" t="s">
        <v>1271</v>
      </c>
      <c r="F605" s="1" t="s">
        <v>14</v>
      </c>
      <c r="G605" s="4" t="str">
        <f>"08084"</f>
        <v>08084</v>
      </c>
      <c r="H605" s="1">
        <v>1</v>
      </c>
      <c r="I605" s="1">
        <v>0.3</v>
      </c>
      <c r="J605" s="1">
        <v>0</v>
      </c>
      <c r="K605" s="1">
        <v>59</v>
      </c>
      <c r="L605" s="1" t="s">
        <v>70</v>
      </c>
      <c r="M605" s="1" t="s">
        <v>1461</v>
      </c>
      <c r="N605" s="1" t="s">
        <v>12</v>
      </c>
      <c r="O605" s="1" t="s">
        <v>1462</v>
      </c>
    </row>
    <row r="606" spans="1:15" x14ac:dyDescent="0.4">
      <c r="A606" s="1" t="s">
        <v>1460</v>
      </c>
      <c r="B606" s="1" t="s">
        <v>2328</v>
      </c>
      <c r="C606" s="1" t="s">
        <v>2331</v>
      </c>
      <c r="D606" s="1" t="s">
        <v>2205</v>
      </c>
      <c r="E606" s="1" t="s">
        <v>1271</v>
      </c>
      <c r="F606" s="1" t="s">
        <v>14</v>
      </c>
      <c r="G606" s="4" t="str">
        <f>"08093"</f>
        <v>08093</v>
      </c>
      <c r="H606" s="1">
        <v>1</v>
      </c>
      <c r="I606" s="1">
        <v>0.3</v>
      </c>
      <c r="J606" s="1">
        <v>0</v>
      </c>
      <c r="K606" s="1">
        <v>59</v>
      </c>
      <c r="L606" s="1" t="s">
        <v>70</v>
      </c>
      <c r="M606" s="1" t="s">
        <v>2329</v>
      </c>
      <c r="N606" s="1" t="s">
        <v>12</v>
      </c>
      <c r="O606" s="1" t="s">
        <v>2330</v>
      </c>
    </row>
    <row r="607" spans="1:15" x14ac:dyDescent="0.4">
      <c r="A607" s="1" t="s">
        <v>774</v>
      </c>
      <c r="B607" s="1" t="s">
        <v>762</v>
      </c>
      <c r="C607" s="1" t="s">
        <v>777</v>
      </c>
      <c r="D607" s="1" t="s">
        <v>300</v>
      </c>
      <c r="E607" s="1" t="s">
        <v>4675</v>
      </c>
      <c r="F607" s="1" t="s">
        <v>14</v>
      </c>
      <c r="G607" s="4" t="str">
        <f>"07652"</f>
        <v>07652</v>
      </c>
      <c r="H607" s="1">
        <v>65</v>
      </c>
      <c r="I607" s="1">
        <v>21.9</v>
      </c>
      <c r="J607" s="1">
        <v>0</v>
      </c>
      <c r="K607" s="1">
        <v>51</v>
      </c>
      <c r="L607" s="1" t="s">
        <v>444</v>
      </c>
      <c r="M607" s="1" t="s">
        <v>775</v>
      </c>
      <c r="N607" s="1" t="s">
        <v>12</v>
      </c>
      <c r="O607" s="1" t="s">
        <v>776</v>
      </c>
    </row>
    <row r="608" spans="1:15" x14ac:dyDescent="0.4">
      <c r="A608" s="1" t="s">
        <v>774</v>
      </c>
      <c r="B608" s="1" t="s">
        <v>1119</v>
      </c>
      <c r="C608" s="1" t="s">
        <v>1132</v>
      </c>
      <c r="D608" s="1" t="s">
        <v>1120</v>
      </c>
      <c r="E608" s="1" t="s">
        <v>4675</v>
      </c>
      <c r="F608" s="1" t="s">
        <v>14</v>
      </c>
      <c r="G608" s="4" t="str">
        <f>"08054"</f>
        <v>08054</v>
      </c>
      <c r="H608" s="1">
        <v>65</v>
      </c>
      <c r="I608" s="1">
        <v>21.9</v>
      </c>
      <c r="J608" s="1">
        <v>0</v>
      </c>
      <c r="K608" s="1">
        <v>51</v>
      </c>
      <c r="L608" s="1" t="s">
        <v>698</v>
      </c>
      <c r="M608" s="1" t="s">
        <v>1130</v>
      </c>
      <c r="N608" s="1" t="s">
        <v>12</v>
      </c>
      <c r="O608" s="1" t="s">
        <v>1131</v>
      </c>
    </row>
    <row r="609" spans="1:15" x14ac:dyDescent="0.4">
      <c r="A609" s="1" t="s">
        <v>774</v>
      </c>
      <c r="B609" s="1" t="s">
        <v>2748</v>
      </c>
      <c r="C609" s="1" t="s">
        <v>2751</v>
      </c>
      <c r="D609" s="1" t="s">
        <v>2749</v>
      </c>
      <c r="E609" s="1" t="s">
        <v>4675</v>
      </c>
      <c r="F609" s="1" t="s">
        <v>14</v>
      </c>
      <c r="G609" s="4" t="str">
        <f>"08618-2605"</f>
        <v>08618-2605</v>
      </c>
      <c r="H609" s="1">
        <v>65</v>
      </c>
      <c r="I609" s="1">
        <v>21.9</v>
      </c>
      <c r="J609" s="1">
        <v>0</v>
      </c>
      <c r="K609" s="1">
        <v>51</v>
      </c>
      <c r="L609" s="1" t="s">
        <v>272</v>
      </c>
      <c r="M609" s="1" t="s">
        <v>1594</v>
      </c>
      <c r="N609" s="1" t="s">
        <v>12</v>
      </c>
      <c r="O609" s="1" t="s">
        <v>2750</v>
      </c>
    </row>
    <row r="610" spans="1:15" x14ac:dyDescent="0.4">
      <c r="A610" s="1" t="s">
        <v>3025</v>
      </c>
      <c r="B610" s="1" t="s">
        <v>3006</v>
      </c>
      <c r="C610" s="1" t="s">
        <v>3027</v>
      </c>
      <c r="D610" s="1" t="s">
        <v>3010</v>
      </c>
      <c r="E610" s="1" t="s">
        <v>2962</v>
      </c>
      <c r="F610" s="1" t="s">
        <v>14</v>
      </c>
      <c r="G610" s="4" t="str">
        <f>"08902"</f>
        <v>08902</v>
      </c>
      <c r="H610" s="1">
        <v>61</v>
      </c>
      <c r="I610" s="1">
        <v>10.8</v>
      </c>
      <c r="J610" s="1">
        <v>0</v>
      </c>
      <c r="K610" s="1">
        <v>90</v>
      </c>
      <c r="L610" s="1" t="s">
        <v>1372</v>
      </c>
      <c r="M610" s="1" t="s">
        <v>596</v>
      </c>
      <c r="N610" s="1" t="s">
        <v>12</v>
      </c>
      <c r="O610" s="1" t="s">
        <v>3026</v>
      </c>
    </row>
    <row r="611" spans="1:15" x14ac:dyDescent="0.4">
      <c r="A611" s="1" t="s">
        <v>4712</v>
      </c>
      <c r="B611" s="1" t="s">
        <v>2416</v>
      </c>
      <c r="C611" s="1" t="s">
        <v>2498</v>
      </c>
      <c r="D611" s="1" t="s">
        <v>1588</v>
      </c>
      <c r="E611" s="1" t="s">
        <v>2239</v>
      </c>
      <c r="F611" s="1" t="s">
        <v>14</v>
      </c>
      <c r="G611" s="4" t="str">
        <f>"07306"</f>
        <v>07306</v>
      </c>
      <c r="H611" s="1">
        <v>126</v>
      </c>
      <c r="I611" s="1">
        <v>23.4</v>
      </c>
      <c r="J611" s="1">
        <v>0</v>
      </c>
      <c r="K611" s="1">
        <v>67</v>
      </c>
      <c r="L611" s="1" t="s">
        <v>1603</v>
      </c>
      <c r="M611" s="1" t="s">
        <v>2496</v>
      </c>
      <c r="N611" s="1" t="s">
        <v>12</v>
      </c>
      <c r="O611" s="1" t="s">
        <v>2497</v>
      </c>
    </row>
    <row r="612" spans="1:15" x14ac:dyDescent="0.4">
      <c r="A612" s="1" t="s">
        <v>2624</v>
      </c>
      <c r="B612" s="1" t="s">
        <v>2622</v>
      </c>
      <c r="C612" s="1" t="s">
        <v>2627</v>
      </c>
      <c r="D612" s="1" t="s">
        <v>2628</v>
      </c>
      <c r="E612" s="1" t="s">
        <v>4682</v>
      </c>
      <c r="F612" s="1" t="s">
        <v>14</v>
      </c>
      <c r="G612" s="4" t="str">
        <f>"08833"</f>
        <v>08833</v>
      </c>
      <c r="H612" s="1">
        <v>1</v>
      </c>
      <c r="I612" s="1">
        <v>0.3</v>
      </c>
      <c r="J612" s="1">
        <v>0</v>
      </c>
      <c r="K612" s="1">
        <v>120</v>
      </c>
      <c r="L612" s="1" t="s">
        <v>199</v>
      </c>
      <c r="M612" s="1" t="s">
        <v>2625</v>
      </c>
      <c r="N612" s="1" t="s">
        <v>12</v>
      </c>
      <c r="O612" s="1" t="s">
        <v>2626</v>
      </c>
    </row>
    <row r="613" spans="1:15" x14ac:dyDescent="0.4">
      <c r="A613" s="1" t="s">
        <v>2994</v>
      </c>
      <c r="B613" s="1" t="s">
        <v>2978</v>
      </c>
      <c r="C613" s="1" t="s">
        <v>2997</v>
      </c>
      <c r="D613" s="1" t="s">
        <v>1619</v>
      </c>
      <c r="E613" s="1" t="s">
        <v>2962</v>
      </c>
      <c r="F613" s="1" t="s">
        <v>14</v>
      </c>
      <c r="G613" s="4" t="str">
        <f>"08901-2734"</f>
        <v>08901-2734</v>
      </c>
      <c r="H613" s="1">
        <v>13</v>
      </c>
      <c r="I613" s="1">
        <v>2.1</v>
      </c>
      <c r="J613" s="1">
        <v>0</v>
      </c>
      <c r="K613" s="1">
        <v>64</v>
      </c>
      <c r="L613" s="1" t="s">
        <v>2995</v>
      </c>
      <c r="M613" s="1" t="s">
        <v>852</v>
      </c>
      <c r="N613" s="1" t="s">
        <v>12</v>
      </c>
      <c r="O613" s="1" t="s">
        <v>2996</v>
      </c>
    </row>
    <row r="614" spans="1:15" x14ac:dyDescent="0.4">
      <c r="A614" s="1" t="s">
        <v>1170</v>
      </c>
      <c r="B614" s="1" t="s">
        <v>1162</v>
      </c>
      <c r="C614" s="1" t="s">
        <v>4701</v>
      </c>
      <c r="D614" s="1" t="s">
        <v>1169</v>
      </c>
      <c r="E614" s="1" t="s">
        <v>4676</v>
      </c>
      <c r="F614" s="1" t="s">
        <v>14</v>
      </c>
      <c r="G614" s="4" t="str">
        <f>"08068"</f>
        <v>08068</v>
      </c>
      <c r="H614" s="1">
        <v>447</v>
      </c>
      <c r="I614" s="1">
        <v>99.8</v>
      </c>
      <c r="J614" s="1">
        <v>0</v>
      </c>
      <c r="K614" s="1">
        <v>1</v>
      </c>
      <c r="L614" s="1" t="s">
        <v>376</v>
      </c>
      <c r="M614" s="1" t="s">
        <v>1171</v>
      </c>
      <c r="N614" s="1" t="s">
        <v>12</v>
      </c>
      <c r="O614" s="1" t="s">
        <v>1172</v>
      </c>
    </row>
    <row r="615" spans="1:15" x14ac:dyDescent="0.4">
      <c r="A615" s="1" t="s">
        <v>4070</v>
      </c>
      <c r="B615" s="1" t="s">
        <v>4068</v>
      </c>
      <c r="C615" s="1" t="s">
        <v>4073</v>
      </c>
      <c r="D615" s="1" t="s">
        <v>4069</v>
      </c>
      <c r="E615" s="1" t="s">
        <v>4686</v>
      </c>
      <c r="F615" s="1" t="s">
        <v>14</v>
      </c>
      <c r="G615" s="4" t="str">
        <f>"08070"</f>
        <v>08070</v>
      </c>
      <c r="H615" s="1">
        <v>30</v>
      </c>
      <c r="I615" s="1">
        <v>11.4</v>
      </c>
      <c r="J615" s="1">
        <v>0</v>
      </c>
      <c r="K615" s="1">
        <v>0</v>
      </c>
      <c r="L615" s="1" t="s">
        <v>234</v>
      </c>
      <c r="M615" s="1" t="s">
        <v>4071</v>
      </c>
      <c r="N615" s="1" t="s">
        <v>12</v>
      </c>
      <c r="O615" s="1" t="s">
        <v>4072</v>
      </c>
    </row>
    <row r="616" spans="1:15" x14ac:dyDescent="0.4">
      <c r="A616" s="1" t="s">
        <v>46</v>
      </c>
      <c r="B616" s="1" t="s">
        <v>23</v>
      </c>
      <c r="C616" s="1" t="s">
        <v>50</v>
      </c>
      <c r="D616" s="1" t="s">
        <v>25</v>
      </c>
      <c r="E616" s="1" t="s">
        <v>4674</v>
      </c>
      <c r="F616" s="1" t="s">
        <v>14</v>
      </c>
      <c r="G616" s="4" t="str">
        <f>"08401-5235"</f>
        <v>08401-5235</v>
      </c>
      <c r="H616" s="1">
        <v>74</v>
      </c>
      <c r="I616" s="1">
        <v>13.1</v>
      </c>
      <c r="J616" s="1">
        <v>0</v>
      </c>
      <c r="K616" s="1">
        <v>70</v>
      </c>
      <c r="L616" s="1" t="s">
        <v>47</v>
      </c>
      <c r="M616" s="1" t="s">
        <v>48</v>
      </c>
      <c r="N616" s="1" t="s">
        <v>12</v>
      </c>
      <c r="O616" s="1" t="s">
        <v>49</v>
      </c>
    </row>
    <row r="617" spans="1:15" x14ac:dyDescent="0.4">
      <c r="A617" s="1" t="s">
        <v>2078</v>
      </c>
      <c r="B617" s="1" t="s">
        <v>1952</v>
      </c>
      <c r="C617" s="1" t="s">
        <v>2082</v>
      </c>
      <c r="D617" s="1" t="s">
        <v>1610</v>
      </c>
      <c r="E617" s="1" t="s">
        <v>4681</v>
      </c>
      <c r="F617" s="1" t="s">
        <v>14</v>
      </c>
      <c r="G617" s="4" t="str">
        <f>"07112"</f>
        <v>07112</v>
      </c>
      <c r="H617" s="1">
        <v>117</v>
      </c>
      <c r="I617" s="1">
        <v>18.399999999999999</v>
      </c>
      <c r="J617" s="1">
        <v>0</v>
      </c>
      <c r="K617" s="1">
        <v>57</v>
      </c>
      <c r="L617" s="1" t="s">
        <v>2079</v>
      </c>
      <c r="M617" s="1" t="s">
        <v>2080</v>
      </c>
      <c r="N617" s="1" t="s">
        <v>12</v>
      </c>
      <c r="O617" s="1" t="s">
        <v>2081</v>
      </c>
    </row>
    <row r="618" spans="1:15" x14ac:dyDescent="0.4">
      <c r="A618" s="1" t="s">
        <v>962</v>
      </c>
      <c r="B618" s="1" t="s">
        <v>956</v>
      </c>
      <c r="C618" s="1" t="s">
        <v>965</v>
      </c>
      <c r="D618" s="1" t="s">
        <v>957</v>
      </c>
      <c r="E618" s="1" t="s">
        <v>4676</v>
      </c>
      <c r="F618" s="1" t="s">
        <v>14</v>
      </c>
      <c r="G618" s="4" t="str">
        <f>"08505-2326"</f>
        <v>08505-2326</v>
      </c>
      <c r="H618" s="1">
        <v>47</v>
      </c>
      <c r="I618" s="1">
        <v>10.1</v>
      </c>
      <c r="J618" s="1">
        <v>0</v>
      </c>
      <c r="K618" s="1">
        <v>67</v>
      </c>
      <c r="L618" s="1" t="s">
        <v>34</v>
      </c>
      <c r="M618" s="1" t="s">
        <v>963</v>
      </c>
      <c r="N618" s="1" t="s">
        <v>12</v>
      </c>
      <c r="O618" s="1" t="s">
        <v>964</v>
      </c>
    </row>
    <row r="619" spans="1:15" x14ac:dyDescent="0.4">
      <c r="A619" s="1" t="s">
        <v>2376</v>
      </c>
      <c r="B619" s="1" t="s">
        <v>2350</v>
      </c>
      <c r="C619" s="1" t="s">
        <v>2379</v>
      </c>
      <c r="D619" s="1" t="s">
        <v>2351</v>
      </c>
      <c r="E619" s="1" t="s">
        <v>2239</v>
      </c>
      <c r="F619" s="1" t="s">
        <v>14</v>
      </c>
      <c r="G619" s="4" t="str">
        <f>"07002-3803"</f>
        <v>07002-3803</v>
      </c>
      <c r="H619" s="1">
        <v>52</v>
      </c>
      <c r="I619" s="1">
        <v>12</v>
      </c>
      <c r="J619" s="1">
        <v>0</v>
      </c>
      <c r="K619" s="1">
        <v>51</v>
      </c>
      <c r="L619" s="1" t="s">
        <v>794</v>
      </c>
      <c r="M619" s="1" t="s">
        <v>2377</v>
      </c>
      <c r="N619" s="1" t="s">
        <v>12</v>
      </c>
      <c r="O619" s="1" t="s">
        <v>2378</v>
      </c>
    </row>
    <row r="620" spans="1:15" x14ac:dyDescent="0.4">
      <c r="A620" s="1" t="s">
        <v>4702</v>
      </c>
      <c r="B620" s="1" t="s">
        <v>4703</v>
      </c>
      <c r="C620" s="1" t="s">
        <v>1655</v>
      </c>
      <c r="D620" s="1" t="s">
        <v>1389</v>
      </c>
      <c r="E620" s="1" t="s">
        <v>4679</v>
      </c>
      <c r="F620" s="1" t="s">
        <v>14</v>
      </c>
      <c r="G620" s="4" t="str">
        <f>"07103"</f>
        <v>07103</v>
      </c>
      <c r="H620" s="1">
        <v>60</v>
      </c>
      <c r="I620" s="1">
        <v>8.1999999999999993</v>
      </c>
      <c r="J620" s="1">
        <v>0</v>
      </c>
      <c r="K620" s="1">
        <v>89</v>
      </c>
      <c r="L620" s="1" t="s">
        <v>1652</v>
      </c>
      <c r="M620" s="1" t="s">
        <v>1653</v>
      </c>
      <c r="N620" s="1" t="s">
        <v>12</v>
      </c>
      <c r="O620" s="1" t="s">
        <v>1654</v>
      </c>
    </row>
    <row r="621" spans="1:15" x14ac:dyDescent="0.4">
      <c r="A621" s="1" t="s">
        <v>4652</v>
      </c>
      <c r="B621" s="1" t="s">
        <v>4651</v>
      </c>
      <c r="C621" s="1" t="s">
        <v>4655</v>
      </c>
      <c r="D621" s="1" t="s">
        <v>4637</v>
      </c>
      <c r="E621" s="1" t="s">
        <v>76</v>
      </c>
      <c r="F621" s="1" t="s">
        <v>14</v>
      </c>
      <c r="G621" s="4" t="str">
        <f>"08865"</f>
        <v>08865</v>
      </c>
      <c r="H621" s="1">
        <v>242</v>
      </c>
      <c r="I621" s="1">
        <v>53.9</v>
      </c>
      <c r="J621" s="1">
        <v>0</v>
      </c>
      <c r="K621" s="1">
        <v>194</v>
      </c>
      <c r="L621" s="1" t="s">
        <v>3085</v>
      </c>
      <c r="M621" s="1" t="s">
        <v>4653</v>
      </c>
      <c r="N621" s="1" t="s">
        <v>12</v>
      </c>
      <c r="O621" s="1" t="s">
        <v>4654</v>
      </c>
    </row>
    <row r="622" spans="1:15" x14ac:dyDescent="0.4">
      <c r="A622" s="1" t="s">
        <v>4167</v>
      </c>
      <c r="B622" s="1" t="s">
        <v>4148</v>
      </c>
      <c r="C622" s="1" t="s">
        <v>4171</v>
      </c>
      <c r="D622" s="1" t="s">
        <v>1597</v>
      </c>
      <c r="E622" s="1" t="s">
        <v>1597</v>
      </c>
      <c r="F622" s="1" t="s">
        <v>14</v>
      </c>
      <c r="G622" s="4" t="str">
        <f>"08873-2063"</f>
        <v>08873-2063</v>
      </c>
      <c r="H622" s="1">
        <v>39</v>
      </c>
      <c r="I622" s="1">
        <v>11.3</v>
      </c>
      <c r="J622" s="1">
        <v>0</v>
      </c>
      <c r="K622" s="1">
        <v>36</v>
      </c>
      <c r="L622" s="1" t="s">
        <v>4168</v>
      </c>
      <c r="M622" s="1" t="s">
        <v>4169</v>
      </c>
      <c r="N622" s="1" t="s">
        <v>12</v>
      </c>
      <c r="O622" s="1" t="s">
        <v>4170</v>
      </c>
    </row>
    <row r="623" spans="1:15" x14ac:dyDescent="0.4">
      <c r="A623" s="1" t="s">
        <v>3743</v>
      </c>
      <c r="B623" s="1" t="s">
        <v>3738</v>
      </c>
      <c r="C623" s="1" t="s">
        <v>3746</v>
      </c>
      <c r="D623" s="1" t="s">
        <v>1650</v>
      </c>
      <c r="E623" s="1" t="s">
        <v>4685</v>
      </c>
      <c r="F623" s="1" t="s">
        <v>14</v>
      </c>
      <c r="G623" s="4" t="str">
        <f>"08701"</f>
        <v>08701</v>
      </c>
      <c r="H623" s="1">
        <v>126</v>
      </c>
      <c r="I623" s="1">
        <v>34.6</v>
      </c>
      <c r="J623" s="1">
        <v>0</v>
      </c>
      <c r="K623" s="1">
        <v>238</v>
      </c>
      <c r="L623" s="1" t="s">
        <v>442</v>
      </c>
      <c r="M623" s="1" t="s">
        <v>3744</v>
      </c>
      <c r="N623" s="1" t="s">
        <v>12</v>
      </c>
      <c r="O623" s="1" t="s">
        <v>3745</v>
      </c>
    </row>
    <row r="624" spans="1:15" x14ac:dyDescent="0.4">
      <c r="A624" s="1" t="s">
        <v>4704</v>
      </c>
      <c r="B624" s="1" t="s">
        <v>3050</v>
      </c>
      <c r="C624" s="1" t="s">
        <v>3053</v>
      </c>
      <c r="D624" s="1" t="s">
        <v>2937</v>
      </c>
      <c r="E624" s="1" t="s">
        <v>2962</v>
      </c>
      <c r="F624" s="1" t="s">
        <v>14</v>
      </c>
      <c r="G624" s="4" t="str">
        <f>"08854"</f>
        <v>08854</v>
      </c>
      <c r="H624" s="1">
        <v>616</v>
      </c>
      <c r="I624" s="1">
        <v>99.7</v>
      </c>
      <c r="J624" s="1">
        <v>0</v>
      </c>
      <c r="K624" s="1">
        <v>0</v>
      </c>
      <c r="L624" s="1" t="s">
        <v>40</v>
      </c>
      <c r="M624" s="1" t="s">
        <v>3051</v>
      </c>
      <c r="N624" s="1" t="s">
        <v>12</v>
      </c>
      <c r="O624" s="1" t="s">
        <v>3052</v>
      </c>
    </row>
    <row r="625" spans="1:15" x14ac:dyDescent="0.4">
      <c r="A625" s="1" t="s">
        <v>235</v>
      </c>
      <c r="B625" s="1" t="s">
        <v>222</v>
      </c>
      <c r="C625" s="1" t="s">
        <v>239</v>
      </c>
      <c r="D625" s="1" t="s">
        <v>228</v>
      </c>
      <c r="E625" s="1" t="s">
        <v>4674</v>
      </c>
      <c r="F625" s="1" t="s">
        <v>14</v>
      </c>
      <c r="G625" s="4" t="str">
        <f>"08232"</f>
        <v>08232</v>
      </c>
      <c r="H625" s="1">
        <v>23</v>
      </c>
      <c r="I625" s="1">
        <v>2.2999999999999998</v>
      </c>
      <c r="J625" s="1">
        <v>0</v>
      </c>
      <c r="K625" s="1">
        <v>0</v>
      </c>
      <c r="L625" s="1" t="s">
        <v>236</v>
      </c>
      <c r="M625" s="1" t="s">
        <v>237</v>
      </c>
      <c r="N625" s="1" t="s">
        <v>12</v>
      </c>
      <c r="O625" s="1" t="s">
        <v>238</v>
      </c>
    </row>
    <row r="626" spans="1:15" x14ac:dyDescent="0.4">
      <c r="A626" s="1" t="s">
        <v>4657</v>
      </c>
      <c r="B626" s="1" t="s">
        <v>4656</v>
      </c>
      <c r="C626" s="1" t="s">
        <v>4660</v>
      </c>
      <c r="D626" s="1" t="s">
        <v>4637</v>
      </c>
      <c r="E626" s="1" t="s">
        <v>76</v>
      </c>
      <c r="F626" s="1" t="s">
        <v>14</v>
      </c>
      <c r="G626" s="4" t="str">
        <f>"08865"</f>
        <v>08865</v>
      </c>
      <c r="H626" s="1">
        <v>30</v>
      </c>
      <c r="I626" s="1">
        <v>9.8000000000000007</v>
      </c>
      <c r="J626" s="1">
        <v>0</v>
      </c>
      <c r="K626" s="1">
        <v>22</v>
      </c>
      <c r="L626" s="1" t="s">
        <v>656</v>
      </c>
      <c r="M626" s="1" t="s">
        <v>4658</v>
      </c>
      <c r="N626" s="1" t="s">
        <v>12</v>
      </c>
      <c r="O626" s="1" t="s">
        <v>4659</v>
      </c>
    </row>
    <row r="627" spans="1:15" x14ac:dyDescent="0.4">
      <c r="A627" s="1" t="s">
        <v>3269</v>
      </c>
      <c r="B627" s="1" t="s">
        <v>3267</v>
      </c>
      <c r="C627" s="1" t="s">
        <v>3273</v>
      </c>
      <c r="D627" s="1" t="s">
        <v>3268</v>
      </c>
      <c r="E627" s="1" t="s">
        <v>4684</v>
      </c>
      <c r="F627" s="1" t="s">
        <v>14</v>
      </c>
      <c r="G627" s="4" t="str">
        <f>"07739-1799"</f>
        <v>07739-1799</v>
      </c>
      <c r="H627" s="1">
        <v>3</v>
      </c>
      <c r="I627" s="1">
        <v>0.8</v>
      </c>
      <c r="J627" s="1">
        <v>0</v>
      </c>
      <c r="K627" s="1">
        <v>73</v>
      </c>
      <c r="L627" s="1" t="s">
        <v>3270</v>
      </c>
      <c r="M627" s="1" t="s">
        <v>3271</v>
      </c>
      <c r="N627" s="1" t="s">
        <v>12</v>
      </c>
      <c r="O627" s="1" t="s">
        <v>3272</v>
      </c>
    </row>
    <row r="628" spans="1:15" x14ac:dyDescent="0.4">
      <c r="A628" s="1" t="s">
        <v>154</v>
      </c>
      <c r="B628" s="1" t="s">
        <v>147</v>
      </c>
      <c r="C628" s="1" t="s">
        <v>158</v>
      </c>
      <c r="D628" s="1" t="s">
        <v>159</v>
      </c>
      <c r="E628" s="1" t="s">
        <v>4674</v>
      </c>
      <c r="F628" s="1" t="s">
        <v>14</v>
      </c>
      <c r="G628" s="4" t="str">
        <f>"08215"</f>
        <v>08215</v>
      </c>
      <c r="H628" s="1">
        <v>136</v>
      </c>
      <c r="I628" s="1">
        <v>100</v>
      </c>
      <c r="J628" s="1">
        <v>0</v>
      </c>
      <c r="K628" s="1">
        <v>0</v>
      </c>
      <c r="L628" s="1" t="s">
        <v>155</v>
      </c>
      <c r="M628" s="1" t="s">
        <v>156</v>
      </c>
      <c r="N628" s="1" t="s">
        <v>105</v>
      </c>
      <c r="O628" s="1" t="s">
        <v>157</v>
      </c>
    </row>
    <row r="629" spans="1:15" x14ac:dyDescent="0.4">
      <c r="A629" s="1" t="s">
        <v>2829</v>
      </c>
      <c r="B629" s="1" t="s">
        <v>2828</v>
      </c>
      <c r="C629" s="1" t="s">
        <v>2832</v>
      </c>
      <c r="D629" s="1" t="s">
        <v>2833</v>
      </c>
      <c r="E629" s="1" t="s">
        <v>4683</v>
      </c>
      <c r="F629" s="1" t="s">
        <v>14</v>
      </c>
      <c r="G629" s="4" t="str">
        <f>"08691"</f>
        <v>08691</v>
      </c>
      <c r="H629" s="1">
        <v>86</v>
      </c>
      <c r="I629" s="1">
        <v>8.4</v>
      </c>
      <c r="J629" s="1">
        <v>0</v>
      </c>
      <c r="K629" s="1">
        <v>0</v>
      </c>
      <c r="L629" s="1" t="s">
        <v>439</v>
      </c>
      <c r="M629" s="1" t="s">
        <v>2830</v>
      </c>
      <c r="N629" s="1" t="s">
        <v>12</v>
      </c>
      <c r="O629" s="1" t="s">
        <v>2831</v>
      </c>
    </row>
    <row r="630" spans="1:15" x14ac:dyDescent="0.4">
      <c r="A630" s="1" t="s">
        <v>4028</v>
      </c>
      <c r="B630" s="1" t="s">
        <v>4023</v>
      </c>
      <c r="C630" s="1" t="s">
        <v>4030</v>
      </c>
      <c r="D630" s="1" t="s">
        <v>1258</v>
      </c>
      <c r="E630" s="1" t="s">
        <v>1651</v>
      </c>
      <c r="F630" s="1" t="s">
        <v>14</v>
      </c>
      <c r="G630" s="4" t="str">
        <f>"07470"</f>
        <v>07470</v>
      </c>
      <c r="H630" s="1">
        <v>53</v>
      </c>
      <c r="I630" s="1">
        <v>29.9</v>
      </c>
      <c r="J630" s="1">
        <v>0</v>
      </c>
      <c r="K630" s="1">
        <v>0</v>
      </c>
      <c r="L630" s="1" t="s">
        <v>15</v>
      </c>
      <c r="M630" s="1" t="s">
        <v>2126</v>
      </c>
      <c r="N630" s="1" t="s">
        <v>12</v>
      </c>
      <c r="O630" s="1" t="s">
        <v>4029</v>
      </c>
    </row>
    <row r="631" spans="1:15" x14ac:dyDescent="0.4">
      <c r="A631" s="1" t="s">
        <v>2499</v>
      </c>
      <c r="B631" s="1" t="s">
        <v>2416</v>
      </c>
      <c r="C631" s="1" t="s">
        <v>2503</v>
      </c>
      <c r="D631" s="1" t="s">
        <v>1624</v>
      </c>
      <c r="E631" s="1" t="s">
        <v>2239</v>
      </c>
      <c r="F631" s="1" t="s">
        <v>14</v>
      </c>
      <c r="G631" s="4" t="str">
        <f>"07305-2123"</f>
        <v>07305-2123</v>
      </c>
      <c r="H631" s="1">
        <v>40</v>
      </c>
      <c r="I631" s="1">
        <v>9.4</v>
      </c>
      <c r="J631" s="1">
        <v>0</v>
      </c>
      <c r="K631" s="1">
        <v>56</v>
      </c>
      <c r="L631" s="1" t="s">
        <v>2500</v>
      </c>
      <c r="M631" s="1" t="s">
        <v>2501</v>
      </c>
      <c r="N631" s="1" t="s">
        <v>12</v>
      </c>
      <c r="O631" s="1" t="s">
        <v>2502</v>
      </c>
    </row>
    <row r="632" spans="1:15" x14ac:dyDescent="0.4">
      <c r="A632" s="1" t="s">
        <v>4556</v>
      </c>
      <c r="B632" s="1" t="s">
        <v>4550</v>
      </c>
      <c r="C632" s="1" t="s">
        <v>4555</v>
      </c>
      <c r="D632" s="1" t="s">
        <v>4551</v>
      </c>
      <c r="E632" s="1" t="s">
        <v>4594</v>
      </c>
      <c r="F632" s="1" t="s">
        <v>14</v>
      </c>
      <c r="G632" s="4" t="str">
        <f>"07091"</f>
        <v>07091</v>
      </c>
      <c r="H632" s="1">
        <v>1</v>
      </c>
      <c r="I632" s="1">
        <v>0.8</v>
      </c>
      <c r="J632" s="1">
        <v>0</v>
      </c>
      <c r="K632" s="1">
        <v>115</v>
      </c>
      <c r="L632" s="1" t="s">
        <v>334</v>
      </c>
      <c r="M632" s="1" t="s">
        <v>4557</v>
      </c>
      <c r="N632" s="1" t="s">
        <v>12</v>
      </c>
      <c r="O632" s="1" t="s">
        <v>4558</v>
      </c>
    </row>
    <row r="633" spans="1:15" x14ac:dyDescent="0.4">
      <c r="A633" s="1" t="s">
        <v>4559</v>
      </c>
      <c r="B633" s="1" t="s">
        <v>4550</v>
      </c>
      <c r="C633" s="1" t="s">
        <v>4560</v>
      </c>
      <c r="D633" s="1" t="s">
        <v>4551</v>
      </c>
      <c r="E633" s="1" t="s">
        <v>4594</v>
      </c>
      <c r="F633" s="1" t="s">
        <v>14</v>
      </c>
      <c r="G633" s="4" t="str">
        <f>"07091-1702"</f>
        <v>07091-1702</v>
      </c>
      <c r="H633" s="1">
        <v>12</v>
      </c>
      <c r="I633" s="1">
        <v>5.9</v>
      </c>
      <c r="J633" s="1">
        <v>0</v>
      </c>
      <c r="K633" s="1">
        <v>161</v>
      </c>
      <c r="L633" s="1" t="s">
        <v>334</v>
      </c>
      <c r="M633" s="1" t="s">
        <v>4557</v>
      </c>
      <c r="N633" s="1" t="s">
        <v>12</v>
      </c>
      <c r="O633" s="1" t="s">
        <v>4558</v>
      </c>
    </row>
    <row r="634" spans="1:15" x14ac:dyDescent="0.4">
      <c r="A634" s="1" t="s">
        <v>2868</v>
      </c>
      <c r="B634" s="1" t="s">
        <v>2857</v>
      </c>
      <c r="C634" s="1" t="s">
        <v>2871</v>
      </c>
      <c r="D634" s="1" t="s">
        <v>2858</v>
      </c>
      <c r="E634" s="1" t="s">
        <v>2962</v>
      </c>
      <c r="F634" s="1" t="s">
        <v>14</v>
      </c>
      <c r="G634" s="4" t="str">
        <f>"07008"</f>
        <v>07008</v>
      </c>
      <c r="H634" s="1">
        <v>87</v>
      </c>
      <c r="I634" s="1">
        <v>16.399999999999999</v>
      </c>
      <c r="J634" s="1">
        <v>0</v>
      </c>
      <c r="K634" s="1">
        <v>83</v>
      </c>
      <c r="L634" s="1" t="s">
        <v>388</v>
      </c>
      <c r="M634" s="1" t="s">
        <v>2869</v>
      </c>
      <c r="N634" s="1" t="s">
        <v>12</v>
      </c>
      <c r="O634" s="1" t="s">
        <v>2870</v>
      </c>
    </row>
    <row r="635" spans="1:15" x14ac:dyDescent="0.4">
      <c r="A635" s="1" t="s">
        <v>3060</v>
      </c>
      <c r="B635" s="1" t="s">
        <v>3054</v>
      </c>
      <c r="C635" s="1" t="s">
        <v>3063</v>
      </c>
      <c r="D635" s="1" t="s">
        <v>3064</v>
      </c>
      <c r="E635" s="1" t="s">
        <v>2962</v>
      </c>
      <c r="F635" s="1" t="s">
        <v>14</v>
      </c>
      <c r="G635" s="4" t="str">
        <f>"08879"</f>
        <v>08879</v>
      </c>
      <c r="H635" s="1">
        <v>233</v>
      </c>
      <c r="I635" s="1">
        <v>100</v>
      </c>
      <c r="J635" s="1">
        <v>0</v>
      </c>
      <c r="K635" s="1">
        <v>0</v>
      </c>
      <c r="L635" s="1" t="s">
        <v>675</v>
      </c>
      <c r="M635" s="1" t="s">
        <v>3061</v>
      </c>
      <c r="N635" s="1" t="s">
        <v>12</v>
      </c>
      <c r="O635" s="1" t="s">
        <v>3062</v>
      </c>
    </row>
    <row r="636" spans="1:15" x14ac:dyDescent="0.4">
      <c r="A636" s="1" t="s">
        <v>4002</v>
      </c>
      <c r="B636" s="1" t="s">
        <v>4001</v>
      </c>
      <c r="C636" s="1" t="s">
        <v>4005</v>
      </c>
      <c r="D636" s="1" t="s">
        <v>4006</v>
      </c>
      <c r="E636" s="1" t="s">
        <v>1651</v>
      </c>
      <c r="F636" s="1" t="s">
        <v>14</v>
      </c>
      <c r="G636" s="4" t="str">
        <f>"07508-2018"</f>
        <v>07508-2018</v>
      </c>
      <c r="H636" s="1">
        <v>92</v>
      </c>
      <c r="I636" s="1">
        <v>14.8</v>
      </c>
      <c r="J636" s="1">
        <v>0</v>
      </c>
      <c r="K636" s="1">
        <v>69</v>
      </c>
      <c r="L636" s="1" t="s">
        <v>176</v>
      </c>
      <c r="M636" s="1" t="s">
        <v>4003</v>
      </c>
      <c r="N636" s="1" t="s">
        <v>134</v>
      </c>
      <c r="O636" s="1" t="s">
        <v>4004</v>
      </c>
    </row>
    <row r="637" spans="1:15" x14ac:dyDescent="0.4">
      <c r="A637" s="1" t="s">
        <v>1689</v>
      </c>
      <c r="B637" s="1" t="s">
        <v>1682</v>
      </c>
      <c r="C637" s="1" t="s">
        <v>1692</v>
      </c>
      <c r="D637" s="1" t="s">
        <v>1683</v>
      </c>
      <c r="E637" s="1" t="s">
        <v>4680</v>
      </c>
      <c r="F637" s="1" t="s">
        <v>14</v>
      </c>
      <c r="G637" s="4" t="str">
        <f>"08302"</f>
        <v>08302</v>
      </c>
      <c r="H637" s="1">
        <v>51</v>
      </c>
      <c r="I637" s="1">
        <v>7.4</v>
      </c>
      <c r="J637" s="1">
        <v>0</v>
      </c>
      <c r="K637" s="1">
        <v>70</v>
      </c>
      <c r="L637" s="1" t="s">
        <v>1690</v>
      </c>
      <c r="M637" s="1" t="s">
        <v>1110</v>
      </c>
      <c r="N637" s="1" t="s">
        <v>12</v>
      </c>
      <c r="O637" s="1" t="s">
        <v>1691</v>
      </c>
    </row>
    <row r="638" spans="1:15" x14ac:dyDescent="0.4">
      <c r="A638" s="1" t="s">
        <v>4086</v>
      </c>
      <c r="B638" s="1" t="s">
        <v>4085</v>
      </c>
      <c r="C638" s="1" t="s">
        <v>4089</v>
      </c>
      <c r="D638" s="1" t="s">
        <v>4090</v>
      </c>
      <c r="E638" s="1" t="s">
        <v>4686</v>
      </c>
      <c r="F638" s="1" t="s">
        <v>14</v>
      </c>
      <c r="G638" s="4" t="str">
        <f>"08072-0365"</f>
        <v>08072-0365</v>
      </c>
      <c r="H638" s="1">
        <v>50</v>
      </c>
      <c r="I638" s="1">
        <v>17.2</v>
      </c>
      <c r="J638" s="1">
        <v>0</v>
      </c>
      <c r="K638" s="1">
        <v>33</v>
      </c>
      <c r="L638" s="1" t="s">
        <v>4087</v>
      </c>
      <c r="M638" s="1" t="s">
        <v>2417</v>
      </c>
      <c r="N638" s="1" t="s">
        <v>12</v>
      </c>
      <c r="O638" s="1" t="s">
        <v>4088</v>
      </c>
    </row>
    <row r="639" spans="1:15" x14ac:dyDescent="0.4">
      <c r="A639" s="1" t="s">
        <v>2083</v>
      </c>
      <c r="B639" s="1" t="s">
        <v>1952</v>
      </c>
      <c r="C639" s="1" t="s">
        <v>2085</v>
      </c>
      <c r="D639" s="1" t="s">
        <v>1610</v>
      </c>
      <c r="E639" s="1" t="s">
        <v>4681</v>
      </c>
      <c r="F639" s="1" t="s">
        <v>14</v>
      </c>
      <c r="G639" s="4" t="str">
        <f>"07103-4105"</f>
        <v>07103-4105</v>
      </c>
      <c r="H639" s="1">
        <v>124</v>
      </c>
      <c r="I639" s="1">
        <v>17.600000000000001</v>
      </c>
      <c r="J639" s="1">
        <v>0</v>
      </c>
      <c r="K639" s="1">
        <v>92</v>
      </c>
      <c r="L639" s="1" t="s">
        <v>840</v>
      </c>
      <c r="M639" s="1" t="s">
        <v>1392</v>
      </c>
      <c r="N639" s="1" t="s">
        <v>12</v>
      </c>
      <c r="O639" s="1" t="s">
        <v>2084</v>
      </c>
    </row>
    <row r="640" spans="1:15" x14ac:dyDescent="0.4">
      <c r="A640" s="1" t="s">
        <v>2271</v>
      </c>
      <c r="B640" s="1" t="s">
        <v>2261</v>
      </c>
      <c r="C640" s="1" t="s">
        <v>2274</v>
      </c>
      <c r="D640" s="1" t="s">
        <v>94</v>
      </c>
      <c r="E640" s="1" t="s">
        <v>4677</v>
      </c>
      <c r="F640" s="1" t="s">
        <v>14</v>
      </c>
      <c r="G640" s="4" t="str">
        <f>"08094-8602"</f>
        <v>08094-8602</v>
      </c>
      <c r="H640" s="1">
        <v>62</v>
      </c>
      <c r="I640" s="1">
        <v>10.3</v>
      </c>
      <c r="J640" s="1">
        <v>0</v>
      </c>
      <c r="K640" s="1">
        <v>115</v>
      </c>
      <c r="L640" s="1" t="s">
        <v>178</v>
      </c>
      <c r="M640" s="1" t="s">
        <v>2272</v>
      </c>
      <c r="N640" s="1" t="s">
        <v>12</v>
      </c>
      <c r="O640" s="1" t="s">
        <v>2273</v>
      </c>
    </row>
    <row r="641" spans="1:15" x14ac:dyDescent="0.4">
      <c r="A641" s="1" t="s">
        <v>2504</v>
      </c>
      <c r="B641" s="1" t="s">
        <v>2416</v>
      </c>
      <c r="C641" s="1" t="s">
        <v>2508</v>
      </c>
      <c r="D641" s="1" t="s">
        <v>1624</v>
      </c>
      <c r="E641" s="1" t="s">
        <v>2239</v>
      </c>
      <c r="F641" s="1" t="s">
        <v>14</v>
      </c>
      <c r="G641" s="4" t="str">
        <f>"07302-1718"</f>
        <v>07302-1718</v>
      </c>
      <c r="H641" s="1">
        <v>204</v>
      </c>
      <c r="I641" s="1">
        <v>25.7</v>
      </c>
      <c r="J641" s="1">
        <v>0</v>
      </c>
      <c r="K641" s="1">
        <v>88</v>
      </c>
      <c r="L641" s="1" t="s">
        <v>2505</v>
      </c>
      <c r="M641" s="1" t="s">
        <v>2506</v>
      </c>
      <c r="N641" s="1" t="s">
        <v>12</v>
      </c>
      <c r="O641" s="1" t="s">
        <v>2507</v>
      </c>
    </row>
    <row r="642" spans="1:15" x14ac:dyDescent="0.4">
      <c r="A642" s="1" t="s">
        <v>2086</v>
      </c>
      <c r="B642" s="1" t="s">
        <v>1952</v>
      </c>
      <c r="C642" s="1" t="s">
        <v>2089</v>
      </c>
      <c r="D642" s="1" t="s">
        <v>1610</v>
      </c>
      <c r="E642" s="1" t="s">
        <v>4681</v>
      </c>
      <c r="F642" s="1" t="s">
        <v>14</v>
      </c>
      <c r="G642" s="4" t="str">
        <f>"07104"</f>
        <v>07104</v>
      </c>
      <c r="H642" s="1">
        <v>108</v>
      </c>
      <c r="I642" s="1">
        <v>15.2</v>
      </c>
      <c r="J642" s="1">
        <v>0</v>
      </c>
      <c r="K642" s="1">
        <v>72</v>
      </c>
      <c r="L642" s="1" t="s">
        <v>15</v>
      </c>
      <c r="M642" s="1" t="s">
        <v>2087</v>
      </c>
      <c r="N642" s="1" t="s">
        <v>12</v>
      </c>
      <c r="O642" s="1" t="s">
        <v>2088</v>
      </c>
    </row>
    <row r="643" spans="1:15" x14ac:dyDescent="0.4">
      <c r="A643" s="1" t="s">
        <v>4511</v>
      </c>
      <c r="B643" s="1" t="s">
        <v>4500</v>
      </c>
      <c r="C643" s="1" t="s">
        <v>4513</v>
      </c>
      <c r="D643" s="1" t="s">
        <v>4504</v>
      </c>
      <c r="E643" s="1" t="s">
        <v>4594</v>
      </c>
      <c r="F643" s="1" t="s">
        <v>14</v>
      </c>
      <c r="G643" s="4" t="str">
        <f>"07065"</f>
        <v>07065</v>
      </c>
      <c r="H643" s="1">
        <v>120</v>
      </c>
      <c r="I643" s="1">
        <v>17.100000000000001</v>
      </c>
      <c r="J643" s="1">
        <v>0</v>
      </c>
      <c r="K643" s="1">
        <v>0</v>
      </c>
      <c r="L643" s="1" t="s">
        <v>1958</v>
      </c>
      <c r="M643" s="1" t="s">
        <v>1063</v>
      </c>
      <c r="N643" s="1" t="s">
        <v>12</v>
      </c>
      <c r="O643" s="1" t="s">
        <v>4512</v>
      </c>
    </row>
    <row r="644" spans="1:15" x14ac:dyDescent="0.4">
      <c r="A644" s="1" t="s">
        <v>3304</v>
      </c>
      <c r="B644" s="1" t="s">
        <v>3292</v>
      </c>
      <c r="C644" s="1" t="s">
        <v>3307</v>
      </c>
      <c r="D644" s="1" t="s">
        <v>3034</v>
      </c>
      <c r="E644" s="1" t="s">
        <v>4684</v>
      </c>
      <c r="F644" s="1" t="s">
        <v>14</v>
      </c>
      <c r="G644" s="4" t="str">
        <f>"07747-2800"</f>
        <v>07747-2800</v>
      </c>
      <c r="H644" s="1">
        <v>93</v>
      </c>
      <c r="I644" s="1">
        <v>23.5</v>
      </c>
      <c r="J644" s="1">
        <v>0</v>
      </c>
      <c r="K644" s="1">
        <v>71</v>
      </c>
      <c r="L644" s="1" t="s">
        <v>739</v>
      </c>
      <c r="M644" s="1" t="s">
        <v>3305</v>
      </c>
      <c r="N644" s="1" t="s">
        <v>12</v>
      </c>
      <c r="O644" s="1" t="s">
        <v>3306</v>
      </c>
    </row>
    <row r="645" spans="1:15" x14ac:dyDescent="0.4">
      <c r="A645" s="1" t="s">
        <v>1421</v>
      </c>
      <c r="B645" s="1" t="s">
        <v>1415</v>
      </c>
      <c r="C645" s="1" t="s">
        <v>1424</v>
      </c>
      <c r="D645" s="1" t="s">
        <v>1420</v>
      </c>
      <c r="E645" s="1" t="s">
        <v>1271</v>
      </c>
      <c r="F645" s="1" t="s">
        <v>14</v>
      </c>
      <c r="G645" s="4" t="str">
        <f>"08059-1803"</f>
        <v>08059-1803</v>
      </c>
      <c r="H645" s="1">
        <v>13</v>
      </c>
      <c r="I645" s="1">
        <v>9.5</v>
      </c>
      <c r="J645" s="1">
        <v>0</v>
      </c>
      <c r="K645" s="1">
        <v>0</v>
      </c>
      <c r="L645" s="1" t="s">
        <v>176</v>
      </c>
      <c r="M645" s="1" t="s">
        <v>1422</v>
      </c>
      <c r="N645" s="1" t="s">
        <v>12</v>
      </c>
      <c r="O645" s="1" t="s">
        <v>1423</v>
      </c>
    </row>
    <row r="646" spans="1:15" x14ac:dyDescent="0.4">
      <c r="A646" s="1" t="s">
        <v>1657</v>
      </c>
      <c r="B646" s="1" t="s">
        <v>1657</v>
      </c>
      <c r="C646" s="1" t="s">
        <v>1661</v>
      </c>
      <c r="D646" s="1" t="s">
        <v>1662</v>
      </c>
      <c r="E646" s="1" t="s">
        <v>4679</v>
      </c>
      <c r="F646" s="1" t="s">
        <v>14</v>
      </c>
      <c r="G646" s="4" t="str">
        <f>"07701"</f>
        <v>07701</v>
      </c>
      <c r="H646" s="1">
        <v>15</v>
      </c>
      <c r="I646" s="1">
        <v>8.1999999999999993</v>
      </c>
      <c r="J646" s="1">
        <v>0</v>
      </c>
      <c r="K646" s="1">
        <v>18</v>
      </c>
      <c r="L646" s="1" t="s">
        <v>1658</v>
      </c>
      <c r="M646" s="1" t="s">
        <v>1659</v>
      </c>
      <c r="N646" s="1" t="s">
        <v>134</v>
      </c>
      <c r="O646" s="1" t="s">
        <v>1660</v>
      </c>
    </row>
    <row r="647" spans="1:15" x14ac:dyDescent="0.4">
      <c r="A647" s="1" t="s">
        <v>2324</v>
      </c>
      <c r="B647" s="1" t="s">
        <v>2312</v>
      </c>
      <c r="C647" s="1" t="s">
        <v>2327</v>
      </c>
      <c r="D647" s="1" t="s">
        <v>2323</v>
      </c>
      <c r="E647" s="1" t="s">
        <v>4677</v>
      </c>
      <c r="F647" s="1" t="s">
        <v>14</v>
      </c>
      <c r="G647" s="4" t="str">
        <f>"08086-9703"</f>
        <v>08086-9703</v>
      </c>
      <c r="H647" s="1">
        <v>74</v>
      </c>
      <c r="I647" s="1">
        <v>29.2</v>
      </c>
      <c r="J647" s="1">
        <v>0</v>
      </c>
      <c r="K647" s="1">
        <v>57</v>
      </c>
      <c r="L647" s="1" t="s">
        <v>358</v>
      </c>
      <c r="M647" s="1" t="s">
        <v>2325</v>
      </c>
      <c r="N647" s="1" t="s">
        <v>12</v>
      </c>
      <c r="O647" s="1" t="s">
        <v>2326</v>
      </c>
    </row>
    <row r="648" spans="1:15" x14ac:dyDescent="0.4">
      <c r="A648" s="1" t="s">
        <v>3378</v>
      </c>
      <c r="B648" s="1" t="s">
        <v>3377</v>
      </c>
      <c r="C648" s="1" t="s">
        <v>3380</v>
      </c>
      <c r="D648" s="1" t="s">
        <v>3381</v>
      </c>
      <c r="E648" s="1" t="s">
        <v>4684</v>
      </c>
      <c r="F648" s="1" t="s">
        <v>14</v>
      </c>
      <c r="G648" s="4" t="str">
        <f>"07701-1397"</f>
        <v>07701-1397</v>
      </c>
      <c r="H648" s="1">
        <v>113</v>
      </c>
      <c r="I648" s="1">
        <v>20.8</v>
      </c>
      <c r="J648" s="1">
        <v>0</v>
      </c>
      <c r="K648" s="1">
        <v>90</v>
      </c>
      <c r="L648" s="1" t="s">
        <v>457</v>
      </c>
      <c r="M648" s="1" t="s">
        <v>3188</v>
      </c>
      <c r="N648" s="1" t="s">
        <v>12</v>
      </c>
      <c r="O648" s="1" t="s">
        <v>3379</v>
      </c>
    </row>
    <row r="649" spans="1:15" x14ac:dyDescent="0.4">
      <c r="A649" s="1" t="s">
        <v>160</v>
      </c>
      <c r="B649" s="1" t="s">
        <v>147</v>
      </c>
      <c r="C649" s="1" t="s">
        <v>164</v>
      </c>
      <c r="D649" s="1" t="s">
        <v>152</v>
      </c>
      <c r="E649" s="1" t="s">
        <v>4674</v>
      </c>
      <c r="F649" s="1" t="s">
        <v>14</v>
      </c>
      <c r="G649" s="4" t="str">
        <f>"08205"</f>
        <v>08205</v>
      </c>
      <c r="H649" s="1">
        <v>38</v>
      </c>
      <c r="I649" s="1">
        <v>7.7</v>
      </c>
      <c r="J649" s="1">
        <v>0</v>
      </c>
      <c r="K649" s="1">
        <v>59</v>
      </c>
      <c r="L649" s="1" t="s">
        <v>161</v>
      </c>
      <c r="M649" s="1" t="s">
        <v>162</v>
      </c>
      <c r="N649" s="1" t="s">
        <v>12</v>
      </c>
      <c r="O649" s="1" t="s">
        <v>163</v>
      </c>
    </row>
    <row r="650" spans="1:15" x14ac:dyDescent="0.4">
      <c r="A650" s="1" t="s">
        <v>2509</v>
      </c>
      <c r="B650" s="1" t="s">
        <v>2416</v>
      </c>
      <c r="C650" s="1" t="s">
        <v>2511</v>
      </c>
      <c r="D650" s="1" t="s">
        <v>1624</v>
      </c>
      <c r="E650" s="1" t="s">
        <v>2239</v>
      </c>
      <c r="F650" s="1" t="s">
        <v>14</v>
      </c>
      <c r="G650" s="4" t="str">
        <f>"07304"</f>
        <v>07304</v>
      </c>
      <c r="H650" s="1">
        <v>157</v>
      </c>
      <c r="I650" s="1">
        <v>25.6</v>
      </c>
      <c r="J650" s="1">
        <v>0</v>
      </c>
      <c r="K650" s="1">
        <v>79</v>
      </c>
      <c r="L650" s="1" t="s">
        <v>341</v>
      </c>
      <c r="M650" s="1" t="s">
        <v>1994</v>
      </c>
      <c r="N650" s="1" t="s">
        <v>12</v>
      </c>
      <c r="O650" s="1" t="s">
        <v>2510</v>
      </c>
    </row>
    <row r="651" spans="1:15" x14ac:dyDescent="0.4">
      <c r="A651" s="1" t="s">
        <v>1029</v>
      </c>
      <c r="B651" s="1" t="s">
        <v>1026</v>
      </c>
      <c r="C651" s="1" t="s">
        <v>1032</v>
      </c>
      <c r="D651" s="1" t="s">
        <v>1027</v>
      </c>
      <c r="E651" s="1" t="s">
        <v>4676</v>
      </c>
      <c r="F651" s="1" t="s">
        <v>14</v>
      </c>
      <c r="G651" s="4" t="str">
        <f>"08053"</f>
        <v>08053</v>
      </c>
      <c r="H651" s="1">
        <v>13</v>
      </c>
      <c r="I651" s="1">
        <v>2.6</v>
      </c>
      <c r="J651" s="1">
        <v>0</v>
      </c>
      <c r="K651" s="1">
        <v>56</v>
      </c>
      <c r="L651" s="1" t="s">
        <v>248</v>
      </c>
      <c r="M651" s="1" t="s">
        <v>1030</v>
      </c>
      <c r="N651" s="1" t="s">
        <v>12</v>
      </c>
      <c r="O651" s="1" t="s">
        <v>1031</v>
      </c>
    </row>
    <row r="652" spans="1:15" x14ac:dyDescent="0.4">
      <c r="A652" s="1" t="s">
        <v>51</v>
      </c>
      <c r="B652" s="1" t="s">
        <v>23</v>
      </c>
      <c r="C652" s="1" t="s">
        <v>55</v>
      </c>
      <c r="D652" s="1" t="s">
        <v>25</v>
      </c>
      <c r="E652" s="1" t="s">
        <v>4674</v>
      </c>
      <c r="F652" s="1" t="s">
        <v>14</v>
      </c>
      <c r="G652" s="4" t="str">
        <f>"08401-5860"</f>
        <v>08401-5860</v>
      </c>
      <c r="H652" s="1">
        <v>65</v>
      </c>
      <c r="I652" s="1">
        <v>10.7</v>
      </c>
      <c r="J652" s="1">
        <v>0</v>
      </c>
      <c r="K652" s="1">
        <v>52</v>
      </c>
      <c r="L652" s="1" t="s">
        <v>52</v>
      </c>
      <c r="M652" s="1" t="s">
        <v>53</v>
      </c>
      <c r="N652" s="1" t="s">
        <v>12</v>
      </c>
      <c r="O652" s="1" t="s">
        <v>54</v>
      </c>
    </row>
    <row r="653" spans="1:15" x14ac:dyDescent="0.4">
      <c r="A653" s="1" t="s">
        <v>2090</v>
      </c>
      <c r="B653" s="1" t="s">
        <v>1952</v>
      </c>
      <c r="C653" s="1" t="s">
        <v>2093</v>
      </c>
      <c r="D653" s="1" t="s">
        <v>1610</v>
      </c>
      <c r="E653" s="1" t="s">
        <v>4681</v>
      </c>
      <c r="F653" s="1" t="s">
        <v>14</v>
      </c>
      <c r="G653" s="4" t="str">
        <f>"07104-2323"</f>
        <v>07104-2323</v>
      </c>
      <c r="H653" s="1">
        <v>36</v>
      </c>
      <c r="I653" s="1">
        <v>6.1</v>
      </c>
      <c r="J653" s="1">
        <v>0</v>
      </c>
      <c r="K653" s="1">
        <v>60</v>
      </c>
      <c r="L653" s="1" t="s">
        <v>132</v>
      </c>
      <c r="M653" s="1" t="s">
        <v>2091</v>
      </c>
      <c r="N653" s="1" t="s">
        <v>12</v>
      </c>
      <c r="O653" s="1" t="s">
        <v>2092</v>
      </c>
    </row>
    <row r="654" spans="1:15" x14ac:dyDescent="0.4">
      <c r="A654" s="1" t="s">
        <v>3774</v>
      </c>
      <c r="B654" s="1" t="s">
        <v>3763</v>
      </c>
      <c r="C654" s="1" t="s">
        <v>3777</v>
      </c>
      <c r="D654" s="1" t="s">
        <v>3773</v>
      </c>
      <c r="E654" s="1" t="s">
        <v>4685</v>
      </c>
      <c r="F654" s="1" t="s">
        <v>14</v>
      </c>
      <c r="G654" s="4" t="str">
        <f>"08759"</f>
        <v>08759</v>
      </c>
      <c r="H654" s="1">
        <v>73</v>
      </c>
      <c r="I654" s="1">
        <v>15.3</v>
      </c>
      <c r="J654" s="1">
        <v>0</v>
      </c>
      <c r="K654" s="1">
        <v>71</v>
      </c>
      <c r="L654" s="1" t="s">
        <v>138</v>
      </c>
      <c r="M654" s="1" t="s">
        <v>3775</v>
      </c>
      <c r="N654" s="1" t="s">
        <v>12</v>
      </c>
      <c r="O654" s="1" t="s">
        <v>3776</v>
      </c>
    </row>
    <row r="655" spans="1:15" x14ac:dyDescent="0.4">
      <c r="A655" s="1" t="s">
        <v>1277</v>
      </c>
      <c r="B655" s="1" t="s">
        <v>1254</v>
      </c>
      <c r="C655" s="1" t="s">
        <v>1281</v>
      </c>
      <c r="D655" s="1" t="s">
        <v>1212</v>
      </c>
      <c r="E655" s="1" t="s">
        <v>1271</v>
      </c>
      <c r="F655" s="1" t="s">
        <v>14</v>
      </c>
      <c r="G655" s="4" t="str">
        <f>"08104"</f>
        <v>08104</v>
      </c>
      <c r="H655" s="1">
        <v>148</v>
      </c>
      <c r="I655" s="1">
        <v>42.4</v>
      </c>
      <c r="J655" s="1">
        <v>0</v>
      </c>
      <c r="K655" s="1">
        <v>77</v>
      </c>
      <c r="L655" s="1" t="s">
        <v>1278</v>
      </c>
      <c r="M655" s="1" t="s">
        <v>1279</v>
      </c>
      <c r="N655" s="1" t="s">
        <v>12</v>
      </c>
      <c r="O655" s="1" t="s">
        <v>1280</v>
      </c>
    </row>
    <row r="656" spans="1:15" x14ac:dyDescent="0.4">
      <c r="A656" s="1" t="s">
        <v>3597</v>
      </c>
      <c r="B656" s="1" t="s">
        <v>3596</v>
      </c>
      <c r="C656" s="1" t="s">
        <v>3600</v>
      </c>
      <c r="D656" s="1" t="s">
        <v>3601</v>
      </c>
      <c r="E656" s="1" t="s">
        <v>1033</v>
      </c>
      <c r="F656" s="1" t="s">
        <v>14</v>
      </c>
      <c r="G656" s="4" t="str">
        <f>"07457"</f>
        <v>07457</v>
      </c>
      <c r="H656" s="1">
        <v>15</v>
      </c>
      <c r="I656" s="1">
        <v>5.5</v>
      </c>
      <c r="J656" s="1">
        <v>0</v>
      </c>
      <c r="K656" s="1">
        <v>23</v>
      </c>
      <c r="L656" s="1" t="s">
        <v>234</v>
      </c>
      <c r="M656" s="1" t="s">
        <v>3598</v>
      </c>
      <c r="N656" s="1" t="s">
        <v>12</v>
      </c>
      <c r="O656" s="1" t="s">
        <v>3599</v>
      </c>
    </row>
    <row r="657" spans="1:15" x14ac:dyDescent="0.4">
      <c r="A657" s="1" t="s">
        <v>2823</v>
      </c>
      <c r="B657" s="1" t="s">
        <v>2814</v>
      </c>
      <c r="C657" s="1" t="s">
        <v>2827</v>
      </c>
      <c r="D657" s="1" t="s">
        <v>1656</v>
      </c>
      <c r="E657" s="1" t="s">
        <v>4683</v>
      </c>
      <c r="F657" s="1" t="s">
        <v>14</v>
      </c>
      <c r="G657" s="4" t="str">
        <f>"08540-5425"</f>
        <v>08540-5425</v>
      </c>
      <c r="H657" s="1">
        <v>5</v>
      </c>
      <c r="I657" s="1">
        <v>1.6</v>
      </c>
      <c r="J657" s="1">
        <v>0</v>
      </c>
      <c r="K657" s="1">
        <v>41</v>
      </c>
      <c r="L657" s="1" t="s">
        <v>2824</v>
      </c>
      <c r="M657" s="1" t="s">
        <v>2825</v>
      </c>
      <c r="N657" s="1" t="s">
        <v>12</v>
      </c>
      <c r="O657" s="1" t="s">
        <v>2826</v>
      </c>
    </row>
    <row r="658" spans="1:15" x14ac:dyDescent="0.4">
      <c r="A658" s="1" t="s">
        <v>3753</v>
      </c>
      <c r="B658" s="1" t="s">
        <v>3752</v>
      </c>
      <c r="C658" s="1" t="s">
        <v>3755</v>
      </c>
      <c r="D658" s="1" t="s">
        <v>3756</v>
      </c>
      <c r="E658" s="1" t="s">
        <v>4685</v>
      </c>
      <c r="F658" s="1" t="s">
        <v>14</v>
      </c>
      <c r="G658" s="4" t="str">
        <f>"08087"</f>
        <v>08087</v>
      </c>
      <c r="H658" s="1">
        <v>318</v>
      </c>
      <c r="I658" s="1">
        <v>100</v>
      </c>
      <c r="J658" s="1">
        <v>0</v>
      </c>
      <c r="K658" s="1">
        <v>0</v>
      </c>
      <c r="L658" s="1" t="s">
        <v>942</v>
      </c>
      <c r="M658" s="1" t="s">
        <v>3250</v>
      </c>
      <c r="N658" s="1" t="s">
        <v>12</v>
      </c>
      <c r="O658" s="1" t="s">
        <v>3754</v>
      </c>
    </row>
    <row r="659" spans="1:15" x14ac:dyDescent="0.4">
      <c r="A659" s="1" t="s">
        <v>900</v>
      </c>
      <c r="B659" s="1" t="s">
        <v>897</v>
      </c>
      <c r="C659" s="1" t="s">
        <v>898</v>
      </c>
      <c r="D659" s="1" t="s">
        <v>899</v>
      </c>
      <c r="E659" s="1" t="s">
        <v>4675</v>
      </c>
      <c r="F659" s="1" t="s">
        <v>14</v>
      </c>
      <c r="G659" s="4" t="str">
        <f>"07458"</f>
        <v>07458</v>
      </c>
      <c r="H659" s="1">
        <v>3</v>
      </c>
      <c r="I659" s="1">
        <v>0.8</v>
      </c>
      <c r="J659" s="1">
        <v>0</v>
      </c>
      <c r="K659" s="1">
        <v>105</v>
      </c>
      <c r="L659" s="1" t="s">
        <v>901</v>
      </c>
      <c r="M659" s="1" t="s">
        <v>902</v>
      </c>
      <c r="N659" s="1" t="s">
        <v>12</v>
      </c>
      <c r="O659" s="1" t="s">
        <v>903</v>
      </c>
    </row>
    <row r="660" spans="1:15" x14ac:dyDescent="0.4">
      <c r="A660" s="1" t="s">
        <v>4009</v>
      </c>
      <c r="B660" s="1" t="s">
        <v>4007</v>
      </c>
      <c r="C660" s="1" t="s">
        <v>4012</v>
      </c>
      <c r="D660" s="1" t="s">
        <v>4008</v>
      </c>
      <c r="E660" s="1" t="s">
        <v>1651</v>
      </c>
      <c r="F660" s="1" t="s">
        <v>14</v>
      </c>
      <c r="G660" s="4" t="str">
        <f>"07456-2150"</f>
        <v>07456-2150</v>
      </c>
      <c r="H660" s="1">
        <v>20</v>
      </c>
      <c r="I660" s="1">
        <v>10.6</v>
      </c>
      <c r="J660" s="1">
        <v>0</v>
      </c>
      <c r="K660" s="1">
        <v>47</v>
      </c>
      <c r="L660" s="1" t="s">
        <v>748</v>
      </c>
      <c r="M660" s="1" t="s">
        <v>4010</v>
      </c>
      <c r="N660" s="1" t="s">
        <v>12</v>
      </c>
      <c r="O660" s="1" t="s">
        <v>4011</v>
      </c>
    </row>
    <row r="661" spans="1:15" x14ac:dyDescent="0.4">
      <c r="A661" s="1" t="s">
        <v>4522</v>
      </c>
      <c r="B661" s="1" t="s">
        <v>4517</v>
      </c>
      <c r="C661" s="1" t="s">
        <v>4524</v>
      </c>
      <c r="D661" s="1" t="s">
        <v>4521</v>
      </c>
      <c r="E661" s="1" t="s">
        <v>4594</v>
      </c>
      <c r="F661" s="1" t="s">
        <v>14</v>
      </c>
      <c r="G661" s="4" t="str">
        <f>"07204"</f>
        <v>07204</v>
      </c>
      <c r="H661" s="1">
        <v>62</v>
      </c>
      <c r="I661" s="1">
        <v>19.100000000000001</v>
      </c>
      <c r="J661" s="1">
        <v>0</v>
      </c>
      <c r="K661" s="1">
        <v>41</v>
      </c>
      <c r="L661" s="1" t="s">
        <v>366</v>
      </c>
      <c r="M661" s="1" t="s">
        <v>4065</v>
      </c>
      <c r="N661" s="1" t="s">
        <v>12</v>
      </c>
      <c r="O661" s="1" t="s">
        <v>4523</v>
      </c>
    </row>
    <row r="662" spans="1:15" x14ac:dyDescent="0.4">
      <c r="A662" s="1" t="s">
        <v>2664</v>
      </c>
      <c r="B662" s="1" t="s">
        <v>2649</v>
      </c>
      <c r="C662" s="1" t="s">
        <v>2667</v>
      </c>
      <c r="D662" s="1" t="s">
        <v>2654</v>
      </c>
      <c r="E662" s="1" t="s">
        <v>4682</v>
      </c>
      <c r="F662" s="1" t="s">
        <v>14</v>
      </c>
      <c r="G662" s="4" t="str">
        <f>"08822-9104"</f>
        <v>08822-9104</v>
      </c>
      <c r="H662" s="1">
        <v>26</v>
      </c>
      <c r="I662" s="1">
        <v>6.4</v>
      </c>
      <c r="J662" s="1">
        <v>0</v>
      </c>
      <c r="K662" s="1">
        <v>65</v>
      </c>
      <c r="L662" s="1" t="s">
        <v>15</v>
      </c>
      <c r="M662" s="1" t="s">
        <v>2665</v>
      </c>
      <c r="N662" s="1" t="s">
        <v>244</v>
      </c>
      <c r="O662" s="1" t="s">
        <v>2666</v>
      </c>
    </row>
    <row r="663" spans="1:15" x14ac:dyDescent="0.4">
      <c r="A663" s="1" t="s">
        <v>677</v>
      </c>
      <c r="B663" s="1" t="s">
        <v>676</v>
      </c>
      <c r="C663" s="1" t="s">
        <v>680</v>
      </c>
      <c r="D663" s="1" t="s">
        <v>681</v>
      </c>
      <c r="E663" s="1" t="s">
        <v>4675</v>
      </c>
      <c r="F663" s="1" t="s">
        <v>14</v>
      </c>
      <c r="G663" s="4" t="str">
        <f>"07074-1115"</f>
        <v>07074-1115</v>
      </c>
      <c r="H663" s="1">
        <v>43</v>
      </c>
      <c r="I663" s="1">
        <v>12.1</v>
      </c>
      <c r="J663" s="1">
        <v>0</v>
      </c>
      <c r="K663" s="1">
        <v>37</v>
      </c>
      <c r="L663" s="1" t="s">
        <v>34</v>
      </c>
      <c r="M663" s="1" t="s">
        <v>678</v>
      </c>
      <c r="N663" s="1" t="s">
        <v>105</v>
      </c>
      <c r="O663" s="1" t="s">
        <v>679</v>
      </c>
    </row>
    <row r="664" spans="1:15" x14ac:dyDescent="0.4">
      <c r="A664" s="1" t="s">
        <v>2566</v>
      </c>
      <c r="B664" s="1" t="s">
        <v>2553</v>
      </c>
      <c r="C664" s="1" t="s">
        <v>2569</v>
      </c>
      <c r="D664" s="1" t="s">
        <v>2554</v>
      </c>
      <c r="E664" s="1" t="s">
        <v>2239</v>
      </c>
      <c r="F664" s="1" t="s">
        <v>14</v>
      </c>
      <c r="G664" s="4" t="str">
        <f>"07087-2323"</f>
        <v>07087-2323</v>
      </c>
      <c r="H664" s="1">
        <v>25</v>
      </c>
      <c r="I664" s="1">
        <v>2.5</v>
      </c>
      <c r="J664" s="1">
        <v>0</v>
      </c>
      <c r="K664" s="1">
        <v>93</v>
      </c>
      <c r="L664" s="1" t="s">
        <v>988</v>
      </c>
      <c r="M664" s="1" t="s">
        <v>2567</v>
      </c>
      <c r="N664" s="1" t="s">
        <v>12</v>
      </c>
      <c r="O664" s="1" t="s">
        <v>2568</v>
      </c>
    </row>
    <row r="665" spans="1:15" x14ac:dyDescent="0.4">
      <c r="A665" s="1" t="s">
        <v>2094</v>
      </c>
      <c r="B665" s="1" t="s">
        <v>1952</v>
      </c>
      <c r="C665" s="1" t="s">
        <v>2098</v>
      </c>
      <c r="D665" s="1" t="s">
        <v>1610</v>
      </c>
      <c r="E665" s="1" t="s">
        <v>4681</v>
      </c>
      <c r="F665" s="1" t="s">
        <v>14</v>
      </c>
      <c r="G665" s="4" t="str">
        <f>"07104-2717"</f>
        <v>07104-2717</v>
      </c>
      <c r="H665" s="1">
        <v>30</v>
      </c>
      <c r="I665" s="1">
        <v>4</v>
      </c>
      <c r="J665" s="1">
        <v>0</v>
      </c>
      <c r="K665" s="1">
        <v>65</v>
      </c>
      <c r="L665" s="1" t="s">
        <v>2095</v>
      </c>
      <c r="M665" s="1" t="s">
        <v>2096</v>
      </c>
      <c r="N665" s="1" t="s">
        <v>12</v>
      </c>
      <c r="O665" s="1" t="s">
        <v>2097</v>
      </c>
    </row>
    <row r="666" spans="1:15" x14ac:dyDescent="0.4">
      <c r="A666" s="1" t="s">
        <v>3452</v>
      </c>
      <c r="B666" s="1" t="s">
        <v>3451</v>
      </c>
      <c r="C666" s="1" t="s">
        <v>3455</v>
      </c>
      <c r="D666" s="1" t="s">
        <v>3456</v>
      </c>
      <c r="E666" s="1" t="s">
        <v>1033</v>
      </c>
      <c r="F666" s="1" t="s">
        <v>14</v>
      </c>
      <c r="G666" s="4" t="str">
        <f>"07005"</f>
        <v>07005</v>
      </c>
      <c r="H666" s="1">
        <v>14</v>
      </c>
      <c r="I666" s="1">
        <v>3.5</v>
      </c>
      <c r="J666" s="1">
        <v>0</v>
      </c>
      <c r="K666" s="1">
        <v>43</v>
      </c>
      <c r="L666" s="1" t="s">
        <v>256</v>
      </c>
      <c r="M666" s="1" t="s">
        <v>3453</v>
      </c>
      <c r="N666" s="1" t="s">
        <v>134</v>
      </c>
      <c r="O666" s="1" t="s">
        <v>3454</v>
      </c>
    </row>
    <row r="667" spans="1:15" x14ac:dyDescent="0.4">
      <c r="A667" s="1" t="s">
        <v>1041</v>
      </c>
      <c r="B667" s="1" t="s">
        <v>1035</v>
      </c>
      <c r="C667" s="1" t="s">
        <v>1044</v>
      </c>
      <c r="D667" s="1" t="s">
        <v>1045</v>
      </c>
      <c r="E667" s="1" t="s">
        <v>4676</v>
      </c>
      <c r="F667" s="1" t="s">
        <v>14</v>
      </c>
      <c r="G667" s="4" t="str">
        <f>"08554"</f>
        <v>08554</v>
      </c>
      <c r="H667" s="1">
        <v>88</v>
      </c>
      <c r="I667" s="1">
        <v>21.5</v>
      </c>
      <c r="J667" s="1">
        <v>0</v>
      </c>
      <c r="K667" s="1">
        <v>82</v>
      </c>
      <c r="L667" s="1" t="s">
        <v>357</v>
      </c>
      <c r="M667" s="1" t="s">
        <v>1042</v>
      </c>
      <c r="N667" s="1" t="s">
        <v>12</v>
      </c>
      <c r="O667" s="1" t="s">
        <v>1043</v>
      </c>
    </row>
    <row r="668" spans="1:15" x14ac:dyDescent="0.4">
      <c r="A668" s="1" t="s">
        <v>166</v>
      </c>
      <c r="B668" s="1" t="s">
        <v>147</v>
      </c>
      <c r="C668" s="1" t="s">
        <v>169</v>
      </c>
      <c r="D668" s="1" t="s">
        <v>152</v>
      </c>
      <c r="E668" s="1" t="s">
        <v>4674</v>
      </c>
      <c r="F668" s="1" t="s">
        <v>14</v>
      </c>
      <c r="G668" s="4" t="str">
        <f>"08205"</f>
        <v>08205</v>
      </c>
      <c r="H668" s="1">
        <v>43</v>
      </c>
      <c r="I668" s="1">
        <v>7.4</v>
      </c>
      <c r="J668" s="1">
        <v>0</v>
      </c>
      <c r="K668" s="1">
        <v>61</v>
      </c>
      <c r="L668" s="1" t="s">
        <v>10</v>
      </c>
      <c r="M668" s="1" t="s">
        <v>167</v>
      </c>
      <c r="N668" s="1" t="s">
        <v>12</v>
      </c>
      <c r="O668" s="1" t="s">
        <v>168</v>
      </c>
    </row>
    <row r="669" spans="1:15" x14ac:dyDescent="0.4">
      <c r="A669" s="1" t="s">
        <v>3828</v>
      </c>
      <c r="B669" s="1" t="s">
        <v>3818</v>
      </c>
      <c r="C669" s="1" t="s">
        <v>3819</v>
      </c>
      <c r="D669" s="1" t="s">
        <v>3820</v>
      </c>
      <c r="E669" s="1" t="s">
        <v>4685</v>
      </c>
      <c r="F669" s="1" t="s">
        <v>14</v>
      </c>
      <c r="G669" s="4" t="str">
        <f>"08050"</f>
        <v>08050</v>
      </c>
      <c r="H669" s="1">
        <v>60</v>
      </c>
      <c r="I669" s="1">
        <v>18.100000000000001</v>
      </c>
      <c r="J669" s="1">
        <v>0</v>
      </c>
      <c r="K669" s="1">
        <v>272</v>
      </c>
      <c r="L669" s="1" t="s">
        <v>1761</v>
      </c>
      <c r="M669" s="1" t="s">
        <v>3829</v>
      </c>
      <c r="N669" s="1" t="s">
        <v>12</v>
      </c>
      <c r="O669" s="1" t="s">
        <v>3830</v>
      </c>
    </row>
    <row r="670" spans="1:15" x14ac:dyDescent="0.4">
      <c r="A670" s="1" t="s">
        <v>809</v>
      </c>
      <c r="B670" s="1" t="s">
        <v>802</v>
      </c>
      <c r="C670" s="1" t="s">
        <v>812</v>
      </c>
      <c r="D670" s="1" t="s">
        <v>803</v>
      </c>
      <c r="E670" s="1" t="s">
        <v>4675</v>
      </c>
      <c r="F670" s="1" t="s">
        <v>14</v>
      </c>
      <c r="G670" s="4" t="str">
        <f>"07660"</f>
        <v>07660</v>
      </c>
      <c r="H670" s="1">
        <v>22</v>
      </c>
      <c r="I670" s="1">
        <v>6.6</v>
      </c>
      <c r="J670" s="1">
        <v>0</v>
      </c>
      <c r="K670" s="1">
        <v>42</v>
      </c>
      <c r="L670" s="1" t="s">
        <v>29</v>
      </c>
      <c r="M670" s="1" t="s">
        <v>810</v>
      </c>
      <c r="N670" s="1" t="s">
        <v>12</v>
      </c>
      <c r="O670" s="1" t="s">
        <v>811</v>
      </c>
    </row>
    <row r="671" spans="1:15" x14ac:dyDescent="0.4">
      <c r="A671" s="1" t="s">
        <v>2524</v>
      </c>
      <c r="B671" s="1" t="s">
        <v>1622</v>
      </c>
      <c r="C671" s="1" t="s">
        <v>2528</v>
      </c>
      <c r="D671" s="1" t="s">
        <v>2519</v>
      </c>
      <c r="E671" s="1" t="s">
        <v>2239</v>
      </c>
      <c r="F671" s="1" t="s">
        <v>14</v>
      </c>
      <c r="G671" s="4" t="str">
        <f>"07032-3005"</f>
        <v>07032-3005</v>
      </c>
      <c r="H671" s="1">
        <v>41</v>
      </c>
      <c r="I671" s="1">
        <v>9.6</v>
      </c>
      <c r="J671" s="1">
        <v>0</v>
      </c>
      <c r="K671" s="1">
        <v>43</v>
      </c>
      <c r="L671" s="1" t="s">
        <v>2525</v>
      </c>
      <c r="M671" s="1" t="s">
        <v>2526</v>
      </c>
      <c r="N671" s="1" t="s">
        <v>12</v>
      </c>
      <c r="O671" s="1" t="s">
        <v>2527</v>
      </c>
    </row>
    <row r="672" spans="1:15" x14ac:dyDescent="0.4">
      <c r="A672" s="1" t="s">
        <v>2524</v>
      </c>
      <c r="B672" s="1" t="s">
        <v>2978</v>
      </c>
      <c r="C672" s="1" t="s">
        <v>3001</v>
      </c>
      <c r="D672" s="1" t="s">
        <v>1619</v>
      </c>
      <c r="E672" s="1" t="s">
        <v>2239</v>
      </c>
      <c r="F672" s="1" t="s">
        <v>14</v>
      </c>
      <c r="G672" s="4" t="str">
        <f>"08901-2522"</f>
        <v>08901-2522</v>
      </c>
      <c r="H672" s="1">
        <v>41</v>
      </c>
      <c r="I672" s="1">
        <v>9.6</v>
      </c>
      <c r="J672" s="1">
        <v>0</v>
      </c>
      <c r="K672" s="1">
        <v>43</v>
      </c>
      <c r="L672" s="1" t="s">
        <v>2998</v>
      </c>
      <c r="M672" s="1" t="s">
        <v>2999</v>
      </c>
      <c r="N672" s="1" t="s">
        <v>12</v>
      </c>
      <c r="O672" s="1" t="s">
        <v>3000</v>
      </c>
    </row>
    <row r="673" spans="1:15" x14ac:dyDescent="0.4">
      <c r="A673" s="1" t="s">
        <v>2524</v>
      </c>
      <c r="B673" s="1" t="s">
        <v>3105</v>
      </c>
      <c r="C673" s="1" t="s">
        <v>3119</v>
      </c>
      <c r="D673" s="1" t="s">
        <v>3109</v>
      </c>
      <c r="E673" s="1" t="s">
        <v>2239</v>
      </c>
      <c r="F673" s="1" t="s">
        <v>14</v>
      </c>
      <c r="G673" s="4" t="str">
        <f>"07080"</f>
        <v>07080</v>
      </c>
      <c r="H673" s="1">
        <v>41</v>
      </c>
      <c r="I673" s="1">
        <v>9.6</v>
      </c>
      <c r="J673" s="1">
        <v>0</v>
      </c>
      <c r="K673" s="1">
        <v>43</v>
      </c>
      <c r="L673" s="1" t="s">
        <v>3116</v>
      </c>
      <c r="M673" s="1" t="s">
        <v>3117</v>
      </c>
      <c r="N673" s="1" t="s">
        <v>12</v>
      </c>
      <c r="O673" s="1" t="s">
        <v>3118</v>
      </c>
    </row>
    <row r="674" spans="1:15" x14ac:dyDescent="0.4">
      <c r="A674" s="1" t="s">
        <v>2524</v>
      </c>
      <c r="B674" s="1" t="s">
        <v>3899</v>
      </c>
      <c r="C674" s="1" t="s">
        <v>3903</v>
      </c>
      <c r="D674" s="1" t="s">
        <v>3900</v>
      </c>
      <c r="E674" s="1" t="s">
        <v>2239</v>
      </c>
      <c r="F674" s="1" t="s">
        <v>14</v>
      </c>
      <c r="G674" s="4" t="str">
        <f>"07506"</f>
        <v>07506</v>
      </c>
      <c r="H674" s="1">
        <v>41</v>
      </c>
      <c r="I674" s="1">
        <v>9.6</v>
      </c>
      <c r="J674" s="1">
        <v>0</v>
      </c>
      <c r="K674" s="1">
        <v>43</v>
      </c>
      <c r="L674" s="1" t="s">
        <v>77</v>
      </c>
      <c r="M674" s="1" t="s">
        <v>3901</v>
      </c>
      <c r="N674" s="1" t="s">
        <v>12</v>
      </c>
      <c r="O674" s="1" t="s">
        <v>3902</v>
      </c>
    </row>
    <row r="675" spans="1:15" x14ac:dyDescent="0.4">
      <c r="A675" s="1" t="s">
        <v>2524</v>
      </c>
      <c r="B675" s="1" t="s">
        <v>4500</v>
      </c>
      <c r="C675" s="1" t="s">
        <v>4516</v>
      </c>
      <c r="D675" s="1" t="s">
        <v>4504</v>
      </c>
      <c r="E675" s="1" t="s">
        <v>2239</v>
      </c>
      <c r="F675" s="1" t="s">
        <v>14</v>
      </c>
      <c r="G675" s="4" t="str">
        <f>"07065-2626"</f>
        <v>07065-2626</v>
      </c>
      <c r="H675" s="1">
        <v>41</v>
      </c>
      <c r="I675" s="1">
        <v>9.6</v>
      </c>
      <c r="J675" s="1">
        <v>0</v>
      </c>
      <c r="K675" s="1">
        <v>43</v>
      </c>
      <c r="L675" s="1" t="s">
        <v>18</v>
      </c>
      <c r="M675" s="1" t="s">
        <v>4514</v>
      </c>
      <c r="N675" s="1" t="s">
        <v>12</v>
      </c>
      <c r="O675" s="1" t="s">
        <v>4515</v>
      </c>
    </row>
    <row r="676" spans="1:15" x14ac:dyDescent="0.4">
      <c r="A676" s="1" t="s">
        <v>3120</v>
      </c>
      <c r="B676" s="1" t="s">
        <v>3105</v>
      </c>
      <c r="C676" s="1" t="s">
        <v>3115</v>
      </c>
      <c r="D676" s="1" t="s">
        <v>3109</v>
      </c>
      <c r="E676" s="1" t="s">
        <v>2962</v>
      </c>
      <c r="F676" s="1" t="s">
        <v>14</v>
      </c>
      <c r="G676" s="4" t="str">
        <f>"07080"</f>
        <v>07080</v>
      </c>
      <c r="H676" s="1">
        <v>92</v>
      </c>
      <c r="I676" s="1">
        <v>100</v>
      </c>
      <c r="J676" s="1">
        <v>0</v>
      </c>
      <c r="K676" s="1">
        <v>0</v>
      </c>
      <c r="L676" s="1" t="s">
        <v>132</v>
      </c>
      <c r="M676" s="1" t="s">
        <v>3113</v>
      </c>
      <c r="N676" s="1" t="s">
        <v>12</v>
      </c>
      <c r="O676" s="1" t="s">
        <v>3114</v>
      </c>
    </row>
    <row r="677" spans="1:15" x14ac:dyDescent="0.4">
      <c r="A677" s="1" t="s">
        <v>616</v>
      </c>
      <c r="B677" s="1" t="s">
        <v>606</v>
      </c>
      <c r="C677" s="1" t="s">
        <v>620</v>
      </c>
      <c r="D677" s="1" t="s">
        <v>611</v>
      </c>
      <c r="E677" s="1" t="s">
        <v>4675</v>
      </c>
      <c r="F677" s="1" t="s">
        <v>14</v>
      </c>
      <c r="G677" s="4" t="str">
        <f>"07644"</f>
        <v>07644</v>
      </c>
      <c r="H677" s="1">
        <v>14</v>
      </c>
      <c r="I677" s="1">
        <v>9.5</v>
      </c>
      <c r="J677" s="1">
        <v>0</v>
      </c>
      <c r="K677" s="1">
        <v>23</v>
      </c>
      <c r="L677" s="1" t="s">
        <v>617</v>
      </c>
      <c r="M677" s="1" t="s">
        <v>618</v>
      </c>
      <c r="N677" s="1" t="s">
        <v>12</v>
      </c>
      <c r="O677" s="1" t="s">
        <v>619</v>
      </c>
    </row>
    <row r="678" spans="1:15" x14ac:dyDescent="0.4">
      <c r="A678" s="1" t="s">
        <v>616</v>
      </c>
      <c r="B678" s="1" t="s">
        <v>629</v>
      </c>
      <c r="C678" s="1" t="s">
        <v>641</v>
      </c>
      <c r="D678" s="1" t="s">
        <v>633</v>
      </c>
      <c r="E678" s="1" t="s">
        <v>4675</v>
      </c>
      <c r="F678" s="1" t="s">
        <v>14</v>
      </c>
      <c r="G678" s="4" t="str">
        <f>"07071-2628"</f>
        <v>07071-2628</v>
      </c>
      <c r="H678" s="1">
        <v>14</v>
      </c>
      <c r="I678" s="1">
        <v>9.5</v>
      </c>
      <c r="J678" s="1">
        <v>0</v>
      </c>
      <c r="K678" s="1">
        <v>23</v>
      </c>
      <c r="L678" s="1" t="s">
        <v>399</v>
      </c>
      <c r="M678" s="1" t="s">
        <v>639</v>
      </c>
      <c r="N678" s="1" t="s">
        <v>12</v>
      </c>
      <c r="O678" s="1" t="s">
        <v>640</v>
      </c>
    </row>
    <row r="679" spans="1:15" x14ac:dyDescent="0.4">
      <c r="A679" s="1" t="s">
        <v>616</v>
      </c>
      <c r="B679" s="1" t="s">
        <v>832</v>
      </c>
      <c r="C679" s="1" t="s">
        <v>837</v>
      </c>
      <c r="D679" s="1" t="s">
        <v>834</v>
      </c>
      <c r="E679" s="1" t="s">
        <v>4675</v>
      </c>
      <c r="F679" s="1" t="s">
        <v>14</v>
      </c>
      <c r="G679" s="4" t="str">
        <f>"07661-2201"</f>
        <v>07661-2201</v>
      </c>
      <c r="H679" s="1">
        <v>14</v>
      </c>
      <c r="I679" s="1">
        <v>9.5</v>
      </c>
      <c r="J679" s="1">
        <v>0</v>
      </c>
      <c r="K679" s="1">
        <v>23</v>
      </c>
      <c r="L679" s="1" t="s">
        <v>667</v>
      </c>
      <c r="M679" s="1" t="s">
        <v>835</v>
      </c>
      <c r="N679" s="1" t="s">
        <v>12</v>
      </c>
      <c r="O679" s="1" t="s">
        <v>836</v>
      </c>
    </row>
    <row r="680" spans="1:15" x14ac:dyDescent="0.4">
      <c r="A680" s="1" t="s">
        <v>616</v>
      </c>
      <c r="B680" s="1" t="s">
        <v>4190</v>
      </c>
      <c r="C680" s="1" t="s">
        <v>4194</v>
      </c>
      <c r="D680" s="1" t="s">
        <v>4191</v>
      </c>
      <c r="E680" s="1" t="s">
        <v>4675</v>
      </c>
      <c r="F680" s="1" t="s">
        <v>14</v>
      </c>
      <c r="G680" s="4" t="str">
        <f>"08835"</f>
        <v>08835</v>
      </c>
      <c r="H680" s="1">
        <v>14</v>
      </c>
      <c r="I680" s="1">
        <v>9.5</v>
      </c>
      <c r="J680" s="1">
        <v>0</v>
      </c>
      <c r="K680" s="1">
        <v>23</v>
      </c>
      <c r="L680" s="1" t="s">
        <v>701</v>
      </c>
      <c r="M680" s="1" t="s">
        <v>4192</v>
      </c>
      <c r="N680" s="1" t="s">
        <v>12</v>
      </c>
      <c r="O680" s="1" t="s">
        <v>4193</v>
      </c>
    </row>
    <row r="681" spans="1:15" x14ac:dyDescent="0.4">
      <c r="A681" s="1" t="s">
        <v>518</v>
      </c>
      <c r="B681" s="1" t="s">
        <v>488</v>
      </c>
      <c r="C681" s="1" t="s">
        <v>522</v>
      </c>
      <c r="D681" s="1" t="s">
        <v>494</v>
      </c>
      <c r="E681" s="1" t="s">
        <v>4675</v>
      </c>
      <c r="F681" s="1" t="s">
        <v>14</v>
      </c>
      <c r="G681" s="4" t="str">
        <f>"07026"</f>
        <v>07026</v>
      </c>
      <c r="H681" s="1">
        <v>46</v>
      </c>
      <c r="I681" s="1">
        <v>16.3</v>
      </c>
      <c r="J681" s="1">
        <v>0</v>
      </c>
      <c r="K681" s="1">
        <v>43</v>
      </c>
      <c r="L681" s="1" t="s">
        <v>519</v>
      </c>
      <c r="M681" s="1" t="s">
        <v>520</v>
      </c>
      <c r="N681" s="1" t="s">
        <v>12</v>
      </c>
      <c r="O681" s="1" t="s">
        <v>521</v>
      </c>
    </row>
    <row r="682" spans="1:15" x14ac:dyDescent="0.4">
      <c r="A682" s="1" t="s">
        <v>3932</v>
      </c>
      <c r="B682" s="1" t="s">
        <v>3919</v>
      </c>
      <c r="C682" s="1" t="s">
        <v>3936</v>
      </c>
      <c r="D682" s="1" t="s">
        <v>1651</v>
      </c>
      <c r="E682" s="1" t="s">
        <v>1651</v>
      </c>
      <c r="F682" s="1" t="s">
        <v>14</v>
      </c>
      <c r="G682" s="4" t="str">
        <f>"07055"</f>
        <v>07055</v>
      </c>
      <c r="H682" s="1">
        <v>213</v>
      </c>
      <c r="I682" s="1">
        <v>73.7</v>
      </c>
      <c r="J682" s="1">
        <v>0</v>
      </c>
      <c r="K682" s="1">
        <v>76</v>
      </c>
      <c r="L682" s="1" t="s">
        <v>3933</v>
      </c>
      <c r="M682" s="1" t="s">
        <v>3934</v>
      </c>
      <c r="N682" s="1" t="s">
        <v>12</v>
      </c>
      <c r="O682" s="1" t="s">
        <v>3935</v>
      </c>
    </row>
    <row r="683" spans="1:15" x14ac:dyDescent="0.4">
      <c r="A683" s="1" t="s">
        <v>2099</v>
      </c>
      <c r="B683" s="1" t="s">
        <v>1952</v>
      </c>
      <c r="C683" s="1" t="s">
        <v>2101</v>
      </c>
      <c r="D683" s="1" t="s">
        <v>1389</v>
      </c>
      <c r="E683" s="1" t="s">
        <v>4681</v>
      </c>
      <c r="F683" s="1" t="s">
        <v>14</v>
      </c>
      <c r="G683" s="4" t="str">
        <f>"07104"</f>
        <v>07104</v>
      </c>
      <c r="H683" s="1">
        <v>39</v>
      </c>
      <c r="I683" s="1">
        <v>7.6</v>
      </c>
      <c r="J683" s="1">
        <v>0</v>
      </c>
      <c r="K683" s="1">
        <v>55</v>
      </c>
      <c r="L683" s="1" t="s">
        <v>2068</v>
      </c>
      <c r="M683" s="1" t="s">
        <v>715</v>
      </c>
      <c r="N683" s="1" t="s">
        <v>12</v>
      </c>
      <c r="O683" s="1" t="s">
        <v>2100</v>
      </c>
    </row>
    <row r="684" spans="1:15" x14ac:dyDescent="0.4">
      <c r="A684" s="1" t="s">
        <v>3856</v>
      </c>
      <c r="B684" s="1" t="s">
        <v>3850</v>
      </c>
      <c r="C684" s="1" t="s">
        <v>3860</v>
      </c>
      <c r="D684" s="1" t="s">
        <v>3855</v>
      </c>
      <c r="E684" s="1" t="s">
        <v>1651</v>
      </c>
      <c r="F684" s="1" t="s">
        <v>14</v>
      </c>
      <c r="G684" s="4" t="str">
        <f>"07403"</f>
        <v>07403</v>
      </c>
      <c r="H684" s="1">
        <v>38</v>
      </c>
      <c r="I684" s="1">
        <v>16.399999999999999</v>
      </c>
      <c r="J684" s="1">
        <v>0</v>
      </c>
      <c r="K684" s="1">
        <v>0</v>
      </c>
      <c r="L684" s="1" t="s">
        <v>3857</v>
      </c>
      <c r="M684" s="1" t="s">
        <v>3858</v>
      </c>
      <c r="N684" s="1" t="s">
        <v>12</v>
      </c>
      <c r="O684" s="1" t="s">
        <v>3859</v>
      </c>
    </row>
    <row r="685" spans="1:15" x14ac:dyDescent="0.4">
      <c r="A685" s="1" t="s">
        <v>972</v>
      </c>
      <c r="B685" s="1" t="s">
        <v>966</v>
      </c>
      <c r="C685" s="1" t="s">
        <v>973</v>
      </c>
      <c r="D685" s="1" t="s">
        <v>949</v>
      </c>
      <c r="E685" s="1" t="s">
        <v>4676</v>
      </c>
      <c r="F685" s="1" t="s">
        <v>14</v>
      </c>
      <c r="G685" s="4" t="str">
        <f>"08016"</f>
        <v>08016</v>
      </c>
      <c r="H685" s="1">
        <v>174</v>
      </c>
      <c r="I685" s="1">
        <v>56.1</v>
      </c>
      <c r="J685" s="1">
        <v>0</v>
      </c>
      <c r="K685" s="1">
        <v>37</v>
      </c>
      <c r="L685" s="1" t="s">
        <v>969</v>
      </c>
      <c r="M685" s="1" t="s">
        <v>970</v>
      </c>
      <c r="N685" s="1" t="s">
        <v>744</v>
      </c>
      <c r="O685" s="1" t="s">
        <v>971</v>
      </c>
    </row>
    <row r="686" spans="1:15" x14ac:dyDescent="0.4">
      <c r="A686" s="1" t="s">
        <v>4314</v>
      </c>
      <c r="B686" s="1" t="s">
        <v>4313</v>
      </c>
      <c r="C686" s="1" t="s">
        <v>4316</v>
      </c>
      <c r="D686" s="1" t="s">
        <v>4317</v>
      </c>
      <c r="E686" s="1" t="s">
        <v>4687</v>
      </c>
      <c r="F686" s="1" t="s">
        <v>14</v>
      </c>
      <c r="G686" s="4" t="str">
        <f>"07851"</f>
        <v>07851</v>
      </c>
      <c r="H686" s="1">
        <v>12</v>
      </c>
      <c r="I686" s="1">
        <v>9.1999999999999993</v>
      </c>
      <c r="J686" s="1">
        <v>0</v>
      </c>
      <c r="K686" s="1">
        <v>12</v>
      </c>
      <c r="L686" s="1" t="s">
        <v>854</v>
      </c>
      <c r="M686" s="1" t="s">
        <v>3701</v>
      </c>
      <c r="N686" s="1" t="s">
        <v>12</v>
      </c>
      <c r="O686" s="1" t="s">
        <v>4315</v>
      </c>
    </row>
    <row r="687" spans="1:15" x14ac:dyDescent="0.4">
      <c r="A687" s="1" t="s">
        <v>3869</v>
      </c>
      <c r="B687" s="1" t="s">
        <v>3861</v>
      </c>
      <c r="C687" s="1" t="s">
        <v>3872</v>
      </c>
      <c r="D687" s="1" t="s">
        <v>1598</v>
      </c>
      <c r="E687" s="1" t="s">
        <v>1651</v>
      </c>
      <c r="F687" s="1" t="s">
        <v>14</v>
      </c>
      <c r="G687" s="4" t="str">
        <f>"07011"</f>
        <v>07011</v>
      </c>
      <c r="H687" s="1">
        <v>15</v>
      </c>
      <c r="I687" s="1">
        <v>5.9</v>
      </c>
      <c r="J687" s="1">
        <v>0</v>
      </c>
      <c r="K687" s="1">
        <v>29</v>
      </c>
      <c r="L687" s="1" t="s">
        <v>457</v>
      </c>
      <c r="M687" s="1" t="s">
        <v>3870</v>
      </c>
      <c r="N687" s="1" t="s">
        <v>12</v>
      </c>
      <c r="O687" s="1" t="s">
        <v>3871</v>
      </c>
    </row>
    <row r="688" spans="1:15" x14ac:dyDescent="0.4">
      <c r="A688" s="1" t="s">
        <v>3873</v>
      </c>
      <c r="B688" s="1" t="s">
        <v>3861</v>
      </c>
      <c r="C688" s="1" t="s">
        <v>3877</v>
      </c>
      <c r="D688" s="1" t="s">
        <v>1598</v>
      </c>
      <c r="E688" s="1" t="s">
        <v>1651</v>
      </c>
      <c r="F688" s="1" t="s">
        <v>14</v>
      </c>
      <c r="G688" s="4" t="str">
        <f>"07011"</f>
        <v>07011</v>
      </c>
      <c r="H688" s="1">
        <v>30</v>
      </c>
      <c r="I688" s="1">
        <v>5.4</v>
      </c>
      <c r="J688" s="1">
        <v>0</v>
      </c>
      <c r="K688" s="1">
        <v>76</v>
      </c>
      <c r="L688" s="1" t="s">
        <v>3874</v>
      </c>
      <c r="M688" s="1" t="s">
        <v>3875</v>
      </c>
      <c r="N688" s="1" t="s">
        <v>12</v>
      </c>
      <c r="O688" s="1" t="s">
        <v>3876</v>
      </c>
    </row>
    <row r="689" spans="1:15" x14ac:dyDescent="0.4">
      <c r="A689" s="1" t="s">
        <v>3878</v>
      </c>
      <c r="B689" s="1" t="s">
        <v>3861</v>
      </c>
      <c r="C689" s="1" t="s">
        <v>3882</v>
      </c>
      <c r="D689" s="1" t="s">
        <v>1598</v>
      </c>
      <c r="E689" s="1" t="s">
        <v>1651</v>
      </c>
      <c r="F689" s="1" t="s">
        <v>14</v>
      </c>
      <c r="G689" s="4" t="str">
        <f>"07012"</f>
        <v>07012</v>
      </c>
      <c r="H689" s="1">
        <v>8</v>
      </c>
      <c r="I689" s="1">
        <v>2.2999999999999998</v>
      </c>
      <c r="J689" s="1">
        <v>0</v>
      </c>
      <c r="K689" s="1">
        <v>60</v>
      </c>
      <c r="L689" s="1" t="s">
        <v>3879</v>
      </c>
      <c r="M689" s="1" t="s">
        <v>3880</v>
      </c>
      <c r="N689" s="1" t="s">
        <v>244</v>
      </c>
      <c r="O689" s="1" t="s">
        <v>3881</v>
      </c>
    </row>
    <row r="690" spans="1:15" x14ac:dyDescent="0.4">
      <c r="A690" s="1" t="s">
        <v>3883</v>
      </c>
      <c r="B690" s="1" t="s">
        <v>3861</v>
      </c>
      <c r="C690" s="1" t="s">
        <v>3887</v>
      </c>
      <c r="D690" s="1" t="s">
        <v>1598</v>
      </c>
      <c r="E690" s="1" t="s">
        <v>1651</v>
      </c>
      <c r="F690" s="1" t="s">
        <v>14</v>
      </c>
      <c r="G690" s="4" t="str">
        <f>"07011"</f>
        <v>07011</v>
      </c>
      <c r="H690" s="1">
        <v>30</v>
      </c>
      <c r="I690" s="1">
        <v>10.6</v>
      </c>
      <c r="J690" s="1">
        <v>0</v>
      </c>
      <c r="K690" s="1">
        <v>30</v>
      </c>
      <c r="L690" s="1" t="s">
        <v>3884</v>
      </c>
      <c r="M690" s="1" t="s">
        <v>3885</v>
      </c>
      <c r="N690" s="1" t="s">
        <v>12</v>
      </c>
      <c r="O690" s="1" t="s">
        <v>3886</v>
      </c>
    </row>
    <row r="691" spans="1:15" x14ac:dyDescent="0.4">
      <c r="A691" s="1" t="s">
        <v>3888</v>
      </c>
      <c r="B691" s="1" t="s">
        <v>3861</v>
      </c>
      <c r="C691" s="1" t="s">
        <v>3890</v>
      </c>
      <c r="D691" s="1" t="s">
        <v>1598</v>
      </c>
      <c r="E691" s="1" t="s">
        <v>1651</v>
      </c>
      <c r="F691" s="1" t="s">
        <v>14</v>
      </c>
      <c r="G691" s="4" t="str">
        <f>"07011"</f>
        <v>07011</v>
      </c>
      <c r="H691" s="1">
        <v>9</v>
      </c>
      <c r="I691" s="1">
        <v>1.8</v>
      </c>
      <c r="J691" s="1">
        <v>0</v>
      </c>
      <c r="K691" s="1">
        <v>58</v>
      </c>
      <c r="L691" s="1" t="s">
        <v>178</v>
      </c>
      <c r="M691" s="1" t="s">
        <v>1175</v>
      </c>
      <c r="N691" s="1" t="s">
        <v>12</v>
      </c>
      <c r="O691" s="1" t="s">
        <v>3889</v>
      </c>
    </row>
    <row r="692" spans="1:15" x14ac:dyDescent="0.4">
      <c r="A692" s="1" t="s">
        <v>359</v>
      </c>
      <c r="B692" s="1" t="s">
        <v>354</v>
      </c>
      <c r="C692" s="1" t="s">
        <v>363</v>
      </c>
      <c r="D692" s="1" t="s">
        <v>355</v>
      </c>
      <c r="E692" s="1" t="s">
        <v>4675</v>
      </c>
      <c r="F692" s="1" t="s">
        <v>14</v>
      </c>
      <c r="G692" s="4" t="str">
        <f>"07010"</f>
        <v>07010</v>
      </c>
      <c r="H692" s="1">
        <v>55</v>
      </c>
      <c r="I692" s="1">
        <v>18</v>
      </c>
      <c r="J692" s="1">
        <v>0</v>
      </c>
      <c r="K692" s="1">
        <v>42</v>
      </c>
      <c r="L692" s="1" t="s">
        <v>360</v>
      </c>
      <c r="M692" s="1" t="s">
        <v>361</v>
      </c>
      <c r="N692" s="1" t="s">
        <v>12</v>
      </c>
      <c r="O692" s="1" t="s">
        <v>362</v>
      </c>
    </row>
    <row r="693" spans="1:15" x14ac:dyDescent="0.4">
      <c r="A693" s="1" t="s">
        <v>359</v>
      </c>
      <c r="B693" s="1" t="s">
        <v>3861</v>
      </c>
      <c r="C693" s="1" t="s">
        <v>3892</v>
      </c>
      <c r="D693" s="1" t="s">
        <v>1598</v>
      </c>
      <c r="E693" s="1" t="s">
        <v>4675</v>
      </c>
      <c r="F693" s="1" t="s">
        <v>14</v>
      </c>
      <c r="G693" s="4" t="str">
        <f>"07013"</f>
        <v>07013</v>
      </c>
      <c r="H693" s="1">
        <v>55</v>
      </c>
      <c r="I693" s="1">
        <v>18</v>
      </c>
      <c r="J693" s="1">
        <v>0</v>
      </c>
      <c r="K693" s="1">
        <v>42</v>
      </c>
      <c r="L693" s="1" t="s">
        <v>830</v>
      </c>
      <c r="M693" s="1" t="s">
        <v>1994</v>
      </c>
      <c r="N693" s="1" t="s">
        <v>12</v>
      </c>
      <c r="O693" s="1" t="s">
        <v>3891</v>
      </c>
    </row>
    <row r="694" spans="1:15" x14ac:dyDescent="0.4">
      <c r="A694" s="1" t="s">
        <v>3971</v>
      </c>
      <c r="B694" s="1" t="s">
        <v>3941</v>
      </c>
      <c r="C694" s="1" t="s">
        <v>3974</v>
      </c>
      <c r="D694" s="1" t="s">
        <v>1591</v>
      </c>
      <c r="E694" s="1" t="s">
        <v>1651</v>
      </c>
      <c r="F694" s="1" t="s">
        <v>14</v>
      </c>
      <c r="G694" s="4" t="str">
        <f>"07501"</f>
        <v>07501</v>
      </c>
      <c r="H694" s="1">
        <v>55</v>
      </c>
      <c r="I694" s="1">
        <v>9.5</v>
      </c>
      <c r="J694" s="1">
        <v>0</v>
      </c>
      <c r="K694" s="1">
        <v>59</v>
      </c>
      <c r="L694" s="1" t="s">
        <v>3972</v>
      </c>
      <c r="M694" s="1" t="s">
        <v>287</v>
      </c>
      <c r="N694" s="1" t="s">
        <v>12</v>
      </c>
      <c r="O694" s="1" t="s">
        <v>3973</v>
      </c>
    </row>
    <row r="695" spans="1:15" x14ac:dyDescent="0.4">
      <c r="A695" s="1" t="s">
        <v>3975</v>
      </c>
      <c r="B695" s="1" t="s">
        <v>3941</v>
      </c>
      <c r="C695" s="1" t="s">
        <v>3978</v>
      </c>
      <c r="D695" s="1" t="s">
        <v>1591</v>
      </c>
      <c r="E695" s="1" t="s">
        <v>1651</v>
      </c>
      <c r="F695" s="1" t="s">
        <v>14</v>
      </c>
      <c r="G695" s="4" t="str">
        <f>"07513"</f>
        <v>07513</v>
      </c>
      <c r="H695" s="1">
        <v>58</v>
      </c>
      <c r="I695" s="1">
        <v>7.1</v>
      </c>
      <c r="J695" s="1">
        <v>0</v>
      </c>
      <c r="K695" s="1">
        <v>59</v>
      </c>
      <c r="L695" s="1" t="s">
        <v>303</v>
      </c>
      <c r="M695" s="1" t="s">
        <v>3976</v>
      </c>
      <c r="N695" s="1" t="s">
        <v>12</v>
      </c>
      <c r="O695" s="1" t="s">
        <v>3977</v>
      </c>
    </row>
    <row r="696" spans="1:15" x14ac:dyDescent="0.4">
      <c r="A696" s="1" t="s">
        <v>3979</v>
      </c>
      <c r="B696" s="1" t="s">
        <v>3941</v>
      </c>
      <c r="C696" s="1" t="s">
        <v>3982</v>
      </c>
      <c r="D696" s="1" t="s">
        <v>1591</v>
      </c>
      <c r="E696" s="1" t="s">
        <v>1651</v>
      </c>
      <c r="F696" s="1" t="s">
        <v>14</v>
      </c>
      <c r="G696" s="4" t="str">
        <f>"07514"</f>
        <v>07514</v>
      </c>
      <c r="H696" s="1">
        <v>23</v>
      </c>
      <c r="I696" s="1">
        <v>3.5</v>
      </c>
      <c r="J696" s="1">
        <v>0</v>
      </c>
      <c r="K696" s="1">
        <v>43</v>
      </c>
      <c r="L696" s="1" t="s">
        <v>3980</v>
      </c>
      <c r="M696" s="1" t="s">
        <v>3048</v>
      </c>
      <c r="N696" s="1" t="s">
        <v>12</v>
      </c>
      <c r="O696" s="1" t="s">
        <v>3981</v>
      </c>
    </row>
    <row r="697" spans="1:15" x14ac:dyDescent="0.4">
      <c r="A697" s="1" t="s">
        <v>3983</v>
      </c>
      <c r="B697" s="1" t="s">
        <v>3941</v>
      </c>
      <c r="C697" s="1" t="s">
        <v>3987</v>
      </c>
      <c r="D697" s="1" t="s">
        <v>1591</v>
      </c>
      <c r="E697" s="1" t="s">
        <v>1651</v>
      </c>
      <c r="F697" s="1" t="s">
        <v>14</v>
      </c>
      <c r="G697" s="4" t="str">
        <f>"07513"</f>
        <v>07513</v>
      </c>
      <c r="H697" s="1">
        <v>29</v>
      </c>
      <c r="I697" s="1">
        <v>4.3</v>
      </c>
      <c r="J697" s="1">
        <v>0</v>
      </c>
      <c r="K697" s="1">
        <v>54</v>
      </c>
      <c r="L697" s="1" t="s">
        <v>3984</v>
      </c>
      <c r="M697" s="1" t="s">
        <v>3985</v>
      </c>
      <c r="N697" s="1" t="s">
        <v>12</v>
      </c>
      <c r="O697" s="1" t="s">
        <v>3986</v>
      </c>
    </row>
    <row r="698" spans="1:15" x14ac:dyDescent="0.4">
      <c r="A698" s="1" t="s">
        <v>3988</v>
      </c>
      <c r="B698" s="1" t="s">
        <v>3941</v>
      </c>
      <c r="C698" s="1" t="s">
        <v>3990</v>
      </c>
      <c r="D698" s="1" t="s">
        <v>1591</v>
      </c>
      <c r="E698" s="1" t="s">
        <v>1651</v>
      </c>
      <c r="F698" s="1" t="s">
        <v>14</v>
      </c>
      <c r="G698" s="4" t="str">
        <f>"07503"</f>
        <v>07503</v>
      </c>
      <c r="H698" s="1">
        <v>81</v>
      </c>
      <c r="I698" s="1">
        <v>15.4</v>
      </c>
      <c r="J698" s="1">
        <v>0</v>
      </c>
      <c r="K698" s="1">
        <v>44</v>
      </c>
      <c r="L698" s="1" t="s">
        <v>2919</v>
      </c>
      <c r="M698" s="1" t="s">
        <v>2415</v>
      </c>
      <c r="N698" s="1" t="s">
        <v>12</v>
      </c>
      <c r="O698" s="1" t="s">
        <v>3989</v>
      </c>
    </row>
    <row r="699" spans="1:15" x14ac:dyDescent="0.4">
      <c r="A699" s="1" t="s">
        <v>3991</v>
      </c>
      <c r="B699" s="1" t="s">
        <v>3941</v>
      </c>
      <c r="C699" s="1" t="s">
        <v>3970</v>
      </c>
      <c r="D699" s="1" t="s">
        <v>1591</v>
      </c>
      <c r="E699" s="1" t="s">
        <v>1651</v>
      </c>
      <c r="F699" s="1" t="s">
        <v>14</v>
      </c>
      <c r="G699" s="4" t="str">
        <f>"07514"</f>
        <v>07514</v>
      </c>
      <c r="H699" s="1">
        <v>38</v>
      </c>
      <c r="I699" s="1">
        <v>9.1</v>
      </c>
      <c r="J699" s="1">
        <v>0</v>
      </c>
      <c r="K699" s="1">
        <v>18</v>
      </c>
      <c r="L699" s="1" t="s">
        <v>3049</v>
      </c>
      <c r="M699" s="1" t="s">
        <v>3992</v>
      </c>
      <c r="N699" s="1" t="s">
        <v>12</v>
      </c>
      <c r="O699" s="1" t="s">
        <v>3993</v>
      </c>
    </row>
    <row r="700" spans="1:15" x14ac:dyDescent="0.4">
      <c r="A700" s="1" t="s">
        <v>3994</v>
      </c>
      <c r="B700" s="1" t="s">
        <v>3941</v>
      </c>
      <c r="C700" s="1" t="s">
        <v>3996</v>
      </c>
      <c r="D700" s="1" t="s">
        <v>1591</v>
      </c>
      <c r="E700" s="1" t="s">
        <v>1651</v>
      </c>
      <c r="F700" s="1" t="s">
        <v>14</v>
      </c>
      <c r="G700" s="4" t="str">
        <f>"07502"</f>
        <v>07502</v>
      </c>
      <c r="H700" s="1">
        <v>73</v>
      </c>
      <c r="I700" s="1">
        <v>11.4</v>
      </c>
      <c r="J700" s="1">
        <v>0</v>
      </c>
      <c r="K700" s="1">
        <v>77</v>
      </c>
      <c r="L700" s="1" t="s">
        <v>2135</v>
      </c>
      <c r="M700" s="1" t="s">
        <v>120</v>
      </c>
      <c r="N700" s="1" t="s">
        <v>12</v>
      </c>
      <c r="O700" s="1" t="s">
        <v>3995</v>
      </c>
    </row>
    <row r="701" spans="1:15" x14ac:dyDescent="0.4">
      <c r="A701" s="1" t="s">
        <v>3997</v>
      </c>
      <c r="B701" s="1" t="s">
        <v>3941</v>
      </c>
      <c r="C701" s="1" t="s">
        <v>4000</v>
      </c>
      <c r="D701" s="1" t="s">
        <v>1591</v>
      </c>
      <c r="E701" s="1" t="s">
        <v>1651</v>
      </c>
      <c r="F701" s="1" t="s">
        <v>14</v>
      </c>
      <c r="G701" s="4" t="str">
        <f>"07522"</f>
        <v>07522</v>
      </c>
      <c r="H701" s="1">
        <v>108</v>
      </c>
      <c r="I701" s="1">
        <v>23.3</v>
      </c>
      <c r="J701" s="1">
        <v>0</v>
      </c>
      <c r="K701" s="1">
        <v>75</v>
      </c>
      <c r="L701" s="1" t="s">
        <v>303</v>
      </c>
      <c r="M701" s="1" t="s">
        <v>3998</v>
      </c>
      <c r="N701" s="1" t="s">
        <v>12</v>
      </c>
      <c r="O701" s="1" t="s">
        <v>3999</v>
      </c>
    </row>
    <row r="702" spans="1:15" x14ac:dyDescent="0.4">
      <c r="A702" s="1" t="s">
        <v>465</v>
      </c>
      <c r="B702" s="1" t="s">
        <v>461</v>
      </c>
      <c r="C702" s="1" t="s">
        <v>468</v>
      </c>
      <c r="D702" s="1" t="s">
        <v>463</v>
      </c>
      <c r="E702" s="1" t="s">
        <v>4675</v>
      </c>
      <c r="F702" s="1" t="s">
        <v>14</v>
      </c>
      <c r="G702" s="4" t="str">
        <f>"07024"</f>
        <v>07024</v>
      </c>
      <c r="H702" s="1">
        <v>52</v>
      </c>
      <c r="I702" s="1">
        <v>14.4</v>
      </c>
      <c r="J702" s="1">
        <v>0</v>
      </c>
      <c r="K702" s="1">
        <v>52</v>
      </c>
      <c r="L702" s="1" t="s">
        <v>368</v>
      </c>
      <c r="M702" s="1" t="s">
        <v>466</v>
      </c>
      <c r="N702" s="1" t="s">
        <v>12</v>
      </c>
      <c r="O702" s="1" t="s">
        <v>467</v>
      </c>
    </row>
    <row r="703" spans="1:15" x14ac:dyDescent="0.4">
      <c r="A703" s="1" t="s">
        <v>4042</v>
      </c>
      <c r="B703" s="1" t="s">
        <v>4036</v>
      </c>
      <c r="C703" s="1" t="s">
        <v>4045</v>
      </c>
      <c r="D703" s="1" t="s">
        <v>4037</v>
      </c>
      <c r="E703" s="1" t="s">
        <v>1651</v>
      </c>
      <c r="F703" s="1" t="s">
        <v>14</v>
      </c>
      <c r="G703" s="4" t="str">
        <f>"07424"</f>
        <v>07424</v>
      </c>
      <c r="H703" s="1">
        <v>122</v>
      </c>
      <c r="I703" s="1">
        <v>100</v>
      </c>
      <c r="J703" s="1">
        <v>0</v>
      </c>
      <c r="K703" s="1">
        <v>0</v>
      </c>
      <c r="L703" s="1" t="s">
        <v>4043</v>
      </c>
      <c r="M703" s="1" t="s">
        <v>1946</v>
      </c>
      <c r="N703" s="1" t="s">
        <v>12</v>
      </c>
      <c r="O703" s="1" t="s">
        <v>4044</v>
      </c>
    </row>
    <row r="704" spans="1:15" x14ac:dyDescent="0.4">
      <c r="A704" s="1" t="s">
        <v>3447</v>
      </c>
      <c r="B704" s="1" t="s">
        <v>3437</v>
      </c>
      <c r="C704" s="1" t="s">
        <v>3450</v>
      </c>
      <c r="D704" s="1" t="s">
        <v>3442</v>
      </c>
      <c r="E704" s="1" t="s">
        <v>1033</v>
      </c>
      <c r="F704" s="1" t="s">
        <v>14</v>
      </c>
      <c r="G704" s="4" t="str">
        <f>"07005"</f>
        <v>07005</v>
      </c>
      <c r="H704" s="1">
        <v>42</v>
      </c>
      <c r="I704" s="1">
        <v>12.9</v>
      </c>
      <c r="J704" s="1">
        <v>0</v>
      </c>
      <c r="K704" s="1">
        <v>89</v>
      </c>
      <c r="L704" s="1" t="s">
        <v>1305</v>
      </c>
      <c r="M704" s="1" t="s">
        <v>3448</v>
      </c>
      <c r="N704" s="1" t="s">
        <v>12</v>
      </c>
      <c r="O704" s="1" t="s">
        <v>3449</v>
      </c>
    </row>
    <row r="705" spans="1:15" x14ac:dyDescent="0.4">
      <c r="A705" s="1" t="s">
        <v>2529</v>
      </c>
      <c r="B705" s="1" t="s">
        <v>1622</v>
      </c>
      <c r="C705" s="1" t="s">
        <v>2532</v>
      </c>
      <c r="D705" s="1" t="s">
        <v>2519</v>
      </c>
      <c r="E705" s="1" t="s">
        <v>2239</v>
      </c>
      <c r="F705" s="1" t="s">
        <v>14</v>
      </c>
      <c r="G705" s="4" t="str">
        <f>"07032-3798"</f>
        <v>07032-3798</v>
      </c>
      <c r="H705" s="1">
        <v>71</v>
      </c>
      <c r="I705" s="1">
        <v>16.2</v>
      </c>
      <c r="J705" s="1">
        <v>0</v>
      </c>
      <c r="K705" s="1">
        <v>52</v>
      </c>
      <c r="L705" s="1" t="s">
        <v>505</v>
      </c>
      <c r="M705" s="1" t="s">
        <v>2530</v>
      </c>
      <c r="N705" s="1" t="s">
        <v>12</v>
      </c>
      <c r="O705" s="1" t="s">
        <v>2531</v>
      </c>
    </row>
    <row r="706" spans="1:15" x14ac:dyDescent="0.4">
      <c r="A706" s="1" t="s">
        <v>200</v>
      </c>
      <c r="B706" s="1" t="s">
        <v>197</v>
      </c>
      <c r="C706" s="1" t="s">
        <v>204</v>
      </c>
      <c r="D706" s="1" t="s">
        <v>198</v>
      </c>
      <c r="E706" s="1" t="s">
        <v>4674</v>
      </c>
      <c r="F706" s="1" t="s">
        <v>14</v>
      </c>
      <c r="G706" s="4" t="str">
        <f>"08221"</f>
        <v>08221</v>
      </c>
      <c r="H706" s="1">
        <v>42</v>
      </c>
      <c r="I706" s="1">
        <v>9.5</v>
      </c>
      <c r="J706" s="1">
        <v>0</v>
      </c>
      <c r="K706" s="1">
        <v>63</v>
      </c>
      <c r="L706" s="1" t="s">
        <v>201</v>
      </c>
      <c r="M706" s="1" t="s">
        <v>202</v>
      </c>
      <c r="N706" s="1" t="s">
        <v>12</v>
      </c>
      <c r="O706" s="1" t="s">
        <v>203</v>
      </c>
    </row>
    <row r="707" spans="1:15" x14ac:dyDescent="0.4">
      <c r="A707" s="1" t="s">
        <v>393</v>
      </c>
      <c r="B707" s="1" t="s">
        <v>385</v>
      </c>
      <c r="C707" s="1" t="s">
        <v>396</v>
      </c>
      <c r="D707" s="1" t="s">
        <v>386</v>
      </c>
      <c r="E707" s="1" t="s">
        <v>4675</v>
      </c>
      <c r="F707" s="1" t="s">
        <v>14</v>
      </c>
      <c r="G707" s="4" t="str">
        <f>"07628-1417"</f>
        <v>07628-1417</v>
      </c>
      <c r="H707" s="1">
        <v>1</v>
      </c>
      <c r="I707" s="1">
        <v>0.2</v>
      </c>
      <c r="J707" s="1">
        <v>0</v>
      </c>
      <c r="K707" s="1">
        <v>39</v>
      </c>
      <c r="L707" s="1" t="s">
        <v>176</v>
      </c>
      <c r="M707" s="1" t="s">
        <v>394</v>
      </c>
      <c r="N707" s="1" t="s">
        <v>12</v>
      </c>
      <c r="O707" s="1" t="s">
        <v>395</v>
      </c>
    </row>
    <row r="708" spans="1:15" x14ac:dyDescent="0.4">
      <c r="A708" s="1" t="s">
        <v>2257</v>
      </c>
      <c r="B708" s="1" t="s">
        <v>2252</v>
      </c>
      <c r="C708" s="1" t="s">
        <v>2260</v>
      </c>
      <c r="D708" s="1" t="s">
        <v>2204</v>
      </c>
      <c r="E708" s="1" t="s">
        <v>4677</v>
      </c>
      <c r="F708" s="1" t="s">
        <v>14</v>
      </c>
      <c r="G708" s="4" t="str">
        <f>"08080"</f>
        <v>08080</v>
      </c>
      <c r="H708" s="1">
        <v>131</v>
      </c>
      <c r="I708" s="1">
        <v>47.3</v>
      </c>
      <c r="J708" s="1">
        <v>0</v>
      </c>
      <c r="K708" s="1">
        <v>142</v>
      </c>
      <c r="L708" s="1" t="s">
        <v>195</v>
      </c>
      <c r="M708" s="1" t="s">
        <v>2258</v>
      </c>
      <c r="N708" s="1" t="s">
        <v>12</v>
      </c>
      <c r="O708" s="1" t="s">
        <v>2259</v>
      </c>
    </row>
    <row r="709" spans="1:15" x14ac:dyDescent="0.4">
      <c r="A709" s="1" t="s">
        <v>815</v>
      </c>
      <c r="B709" s="1" t="s">
        <v>813</v>
      </c>
      <c r="C709" s="1" t="s">
        <v>818</v>
      </c>
      <c r="D709" s="1" t="s">
        <v>814</v>
      </c>
      <c r="E709" s="1" t="s">
        <v>4675</v>
      </c>
      <c r="F709" s="1" t="s">
        <v>14</v>
      </c>
      <c r="G709" s="4" t="str">
        <f>"07657"</f>
        <v>07657</v>
      </c>
      <c r="H709" s="1">
        <v>65</v>
      </c>
      <c r="I709" s="1">
        <v>35.9</v>
      </c>
      <c r="J709" s="1">
        <v>0</v>
      </c>
      <c r="K709" s="1">
        <v>95</v>
      </c>
      <c r="L709" s="1" t="s">
        <v>778</v>
      </c>
      <c r="M709" s="1" t="s">
        <v>816</v>
      </c>
      <c r="N709" s="1" t="s">
        <v>12</v>
      </c>
      <c r="O709" s="1" t="s">
        <v>817</v>
      </c>
    </row>
    <row r="710" spans="1:15" x14ac:dyDescent="0.4">
      <c r="A710" s="1" t="s">
        <v>3364</v>
      </c>
      <c r="B710" s="1" t="s">
        <v>3351</v>
      </c>
      <c r="C710" s="1" t="s">
        <v>3366</v>
      </c>
      <c r="D710" s="1" t="s">
        <v>3343</v>
      </c>
      <c r="E710" s="1" t="s">
        <v>4684</v>
      </c>
      <c r="F710" s="1" t="s">
        <v>14</v>
      </c>
      <c r="G710" s="4" t="str">
        <f>"07753-5599"</f>
        <v>07753-5599</v>
      </c>
      <c r="H710" s="1">
        <v>81</v>
      </c>
      <c r="I710" s="1">
        <v>33.200000000000003</v>
      </c>
      <c r="J710" s="1">
        <v>0</v>
      </c>
      <c r="K710" s="1">
        <v>40</v>
      </c>
      <c r="L710" s="1" t="s">
        <v>1174</v>
      </c>
      <c r="M710" s="1" t="s">
        <v>2645</v>
      </c>
      <c r="N710" s="1" t="s">
        <v>12</v>
      </c>
      <c r="O710" s="1" t="s">
        <v>3365</v>
      </c>
    </row>
    <row r="711" spans="1:15" x14ac:dyDescent="0.4">
      <c r="A711" s="1" t="s">
        <v>2834</v>
      </c>
      <c r="B711" s="1" t="s">
        <v>2828</v>
      </c>
      <c r="C711" s="1" t="s">
        <v>2837</v>
      </c>
      <c r="D711" s="1" t="s">
        <v>2833</v>
      </c>
      <c r="E711" s="1" t="s">
        <v>4683</v>
      </c>
      <c r="F711" s="1" t="s">
        <v>14</v>
      </c>
      <c r="G711" s="4" t="str">
        <f>"08691-9741"</f>
        <v>08691-9741</v>
      </c>
      <c r="H711" s="1">
        <v>97</v>
      </c>
      <c r="I711" s="1">
        <v>9.6999999999999993</v>
      </c>
      <c r="J711" s="1">
        <v>0</v>
      </c>
      <c r="K711" s="1">
        <v>156</v>
      </c>
      <c r="L711" s="1" t="s">
        <v>58</v>
      </c>
      <c r="M711" s="1" t="s">
        <v>2835</v>
      </c>
      <c r="N711" s="1" t="s">
        <v>105</v>
      </c>
      <c r="O711" s="1" t="s">
        <v>2836</v>
      </c>
    </row>
    <row r="712" spans="1:15" x14ac:dyDescent="0.4">
      <c r="A712" s="1" t="s">
        <v>1870</v>
      </c>
      <c r="B712" s="1" t="s">
        <v>1826</v>
      </c>
      <c r="C712" s="1" t="s">
        <v>1873</v>
      </c>
      <c r="D712" s="1" t="s">
        <v>1612</v>
      </c>
      <c r="E712" s="1" t="s">
        <v>4681</v>
      </c>
      <c r="F712" s="1" t="s">
        <v>14</v>
      </c>
      <c r="G712" s="4" t="str">
        <f>"07017-4518"</f>
        <v>07017-4518</v>
      </c>
      <c r="H712" s="1">
        <v>56</v>
      </c>
      <c r="I712" s="1">
        <v>13.6</v>
      </c>
      <c r="J712" s="1">
        <v>0</v>
      </c>
      <c r="K712" s="1">
        <v>47</v>
      </c>
      <c r="L712" s="1" t="s">
        <v>1871</v>
      </c>
      <c r="M712" s="1" t="s">
        <v>77</v>
      </c>
      <c r="N712" s="1" t="s">
        <v>12</v>
      </c>
      <c r="O712" s="1" t="s">
        <v>1872</v>
      </c>
    </row>
    <row r="713" spans="1:15" x14ac:dyDescent="0.4">
      <c r="A713" s="1" t="s">
        <v>4525</v>
      </c>
      <c r="B713" s="1" t="s">
        <v>4517</v>
      </c>
      <c r="C713" s="1" t="s">
        <v>4528</v>
      </c>
      <c r="D713" s="1" t="s">
        <v>4521</v>
      </c>
      <c r="E713" s="1" t="s">
        <v>4594</v>
      </c>
      <c r="F713" s="1" t="s">
        <v>14</v>
      </c>
      <c r="G713" s="4" t="str">
        <f>"07204"</f>
        <v>07204</v>
      </c>
      <c r="H713" s="1">
        <v>45</v>
      </c>
      <c r="I713" s="1">
        <v>12.4</v>
      </c>
      <c r="J713" s="1">
        <v>0</v>
      </c>
      <c r="K713" s="1">
        <v>49</v>
      </c>
      <c r="L713" s="1" t="s">
        <v>368</v>
      </c>
      <c r="M713" s="1" t="s">
        <v>4526</v>
      </c>
      <c r="N713" s="1" t="s">
        <v>12</v>
      </c>
      <c r="O713" s="1" t="s">
        <v>4527</v>
      </c>
    </row>
    <row r="714" spans="1:15" x14ac:dyDescent="0.4">
      <c r="A714" s="1" t="s">
        <v>3383</v>
      </c>
      <c r="B714" s="1" t="s">
        <v>3382</v>
      </c>
      <c r="C714" s="1" t="s">
        <v>3387</v>
      </c>
      <c r="D714" s="1" t="s">
        <v>3388</v>
      </c>
      <c r="E714" s="1" t="s">
        <v>4684</v>
      </c>
      <c r="F714" s="1" t="s">
        <v>14</v>
      </c>
      <c r="G714" s="4" t="str">
        <f>"07702-4124"</f>
        <v>07702-4124</v>
      </c>
      <c r="H714" s="1">
        <v>15</v>
      </c>
      <c r="I714" s="1">
        <v>3.4</v>
      </c>
      <c r="J714" s="1">
        <v>0</v>
      </c>
      <c r="K714" s="1">
        <v>37</v>
      </c>
      <c r="L714" s="1" t="s">
        <v>3384</v>
      </c>
      <c r="M714" s="1" t="s">
        <v>3385</v>
      </c>
      <c r="N714" s="1" t="s">
        <v>134</v>
      </c>
      <c r="O714" s="1" t="s">
        <v>3386</v>
      </c>
    </row>
    <row r="715" spans="1:15" x14ac:dyDescent="0.4">
      <c r="A715" s="1" t="s">
        <v>945</v>
      </c>
      <c r="B715" s="1" t="s">
        <v>940</v>
      </c>
      <c r="C715" s="1" t="s">
        <v>948</v>
      </c>
      <c r="D715" s="1" t="s">
        <v>941</v>
      </c>
      <c r="E715" s="1" t="s">
        <v>4675</v>
      </c>
      <c r="F715" s="1" t="s">
        <v>14</v>
      </c>
      <c r="G715" s="4" t="str">
        <f>"07481-2129"</f>
        <v>07481-2129</v>
      </c>
      <c r="H715" s="1">
        <v>5</v>
      </c>
      <c r="I715" s="1">
        <v>1.4</v>
      </c>
      <c r="J715" s="1">
        <v>0</v>
      </c>
      <c r="K715" s="1">
        <v>51</v>
      </c>
      <c r="L715" s="1" t="s">
        <v>805</v>
      </c>
      <c r="M715" s="1" t="s">
        <v>946</v>
      </c>
      <c r="N715" s="1" t="s">
        <v>12</v>
      </c>
      <c r="O715" s="1" t="s">
        <v>947</v>
      </c>
    </row>
    <row r="716" spans="1:15" x14ac:dyDescent="0.4">
      <c r="A716" s="1" t="s">
        <v>3840</v>
      </c>
      <c r="B716" s="1" t="s">
        <v>3831</v>
      </c>
      <c r="C716" s="1" t="s">
        <v>3843</v>
      </c>
      <c r="D716" s="1" t="s">
        <v>3783</v>
      </c>
      <c r="E716" s="1" t="s">
        <v>4685</v>
      </c>
      <c r="F716" s="1" t="s">
        <v>14</v>
      </c>
      <c r="G716" s="4" t="str">
        <f>"08753"</f>
        <v>08753</v>
      </c>
      <c r="H716" s="1">
        <v>30</v>
      </c>
      <c r="I716" s="1">
        <v>5.0999999999999996</v>
      </c>
      <c r="J716" s="1">
        <v>0</v>
      </c>
      <c r="K716" s="1">
        <v>86</v>
      </c>
      <c r="L716" s="1" t="s">
        <v>176</v>
      </c>
      <c r="M716" s="1" t="s">
        <v>3841</v>
      </c>
      <c r="N716" s="1" t="s">
        <v>12</v>
      </c>
      <c r="O716" s="1" t="s">
        <v>3842</v>
      </c>
    </row>
    <row r="717" spans="1:15" x14ac:dyDescent="0.4">
      <c r="A717" s="1" t="s">
        <v>2102</v>
      </c>
      <c r="B717" s="1" t="s">
        <v>1952</v>
      </c>
      <c r="C717" s="1" t="s">
        <v>2105</v>
      </c>
      <c r="D717" s="1" t="s">
        <v>1610</v>
      </c>
      <c r="E717" s="1" t="s">
        <v>4681</v>
      </c>
      <c r="F717" s="1" t="s">
        <v>14</v>
      </c>
      <c r="G717" s="4" t="str">
        <f>"07103-2639"</f>
        <v>07103-2639</v>
      </c>
      <c r="H717" s="1">
        <v>58</v>
      </c>
      <c r="I717" s="1">
        <v>25.8</v>
      </c>
      <c r="J717" s="1">
        <v>0</v>
      </c>
      <c r="K717" s="1">
        <v>32</v>
      </c>
      <c r="L717" s="1" t="s">
        <v>1202</v>
      </c>
      <c r="M717" s="1" t="s">
        <v>2103</v>
      </c>
      <c r="N717" s="1" t="s">
        <v>12</v>
      </c>
      <c r="O717" s="1" t="s">
        <v>2104</v>
      </c>
    </row>
    <row r="718" spans="1:15" x14ac:dyDescent="0.4">
      <c r="A718" s="1" t="s">
        <v>414</v>
      </c>
      <c r="B718" s="1" t="s">
        <v>412</v>
      </c>
      <c r="C718" s="1" t="s">
        <v>417</v>
      </c>
      <c r="D718" s="1" t="s">
        <v>413</v>
      </c>
      <c r="E718" s="1" t="s">
        <v>4675</v>
      </c>
      <c r="F718" s="1" t="s">
        <v>14</v>
      </c>
      <c r="G718" s="4" t="str">
        <f>"07407-2925"</f>
        <v>07407-2925</v>
      </c>
      <c r="H718" s="1">
        <v>27</v>
      </c>
      <c r="I718" s="1">
        <v>6.6</v>
      </c>
      <c r="J718" s="1">
        <v>0</v>
      </c>
      <c r="K718" s="1">
        <v>62</v>
      </c>
      <c r="L718" s="1" t="s">
        <v>376</v>
      </c>
      <c r="M718" s="1" t="s">
        <v>415</v>
      </c>
      <c r="N718" s="1" t="s">
        <v>12</v>
      </c>
      <c r="O718" s="1" t="s">
        <v>416</v>
      </c>
    </row>
    <row r="719" spans="1:15" x14ac:dyDescent="0.4">
      <c r="A719" s="1" t="s">
        <v>2798</v>
      </c>
      <c r="B719" s="1" t="s">
        <v>2781</v>
      </c>
      <c r="C719" s="1" t="s">
        <v>2802</v>
      </c>
      <c r="D719" s="1" t="s">
        <v>2786</v>
      </c>
      <c r="E719" s="1" t="s">
        <v>4683</v>
      </c>
      <c r="F719" s="1" t="s">
        <v>14</v>
      </c>
      <c r="G719" s="4" t="str">
        <f>"08648-4324"</f>
        <v>08648-4324</v>
      </c>
      <c r="H719" s="1">
        <v>13</v>
      </c>
      <c r="I719" s="1">
        <v>5.2</v>
      </c>
      <c r="J719" s="1">
        <v>0</v>
      </c>
      <c r="K719" s="1">
        <v>50</v>
      </c>
      <c r="L719" s="1" t="s">
        <v>2799</v>
      </c>
      <c r="M719" s="1" t="s">
        <v>2800</v>
      </c>
      <c r="N719" s="1" t="s">
        <v>12</v>
      </c>
      <c r="O719" s="1" t="s">
        <v>2801</v>
      </c>
    </row>
    <row r="720" spans="1:15" x14ac:dyDescent="0.4">
      <c r="A720" s="1" t="s">
        <v>170</v>
      </c>
      <c r="B720" s="1" t="s">
        <v>147</v>
      </c>
      <c r="C720" s="1" t="s">
        <v>173</v>
      </c>
      <c r="D720" s="1" t="s">
        <v>152</v>
      </c>
      <c r="E720" s="1" t="s">
        <v>4674</v>
      </c>
      <c r="F720" s="1" t="s">
        <v>14</v>
      </c>
      <c r="G720" s="4" t="str">
        <f>"08205"</f>
        <v>08205</v>
      </c>
      <c r="H720" s="1">
        <v>40</v>
      </c>
      <c r="I720" s="1">
        <v>7</v>
      </c>
      <c r="J720" s="1">
        <v>0</v>
      </c>
      <c r="K720" s="1">
        <v>69</v>
      </c>
      <c r="L720" s="1" t="s">
        <v>132</v>
      </c>
      <c r="M720" s="1" t="s">
        <v>171</v>
      </c>
      <c r="N720" s="1" t="s">
        <v>12</v>
      </c>
      <c r="O720" s="1" t="s">
        <v>172</v>
      </c>
    </row>
    <row r="721" spans="1:15" x14ac:dyDescent="0.4">
      <c r="A721" s="1" t="s">
        <v>2106</v>
      </c>
      <c r="B721" s="1" t="s">
        <v>1952</v>
      </c>
      <c r="C721" s="1" t="s">
        <v>2109</v>
      </c>
      <c r="D721" s="1" t="s">
        <v>1610</v>
      </c>
      <c r="E721" s="1" t="s">
        <v>4681</v>
      </c>
      <c r="F721" s="1" t="s">
        <v>14</v>
      </c>
      <c r="G721" s="4" t="str">
        <f>"07103-1159"</f>
        <v>07103-1159</v>
      </c>
      <c r="H721" s="1">
        <v>59</v>
      </c>
      <c r="I721" s="1">
        <v>16</v>
      </c>
      <c r="J721" s="1">
        <v>0</v>
      </c>
      <c r="K721" s="1">
        <v>50</v>
      </c>
      <c r="L721" s="1" t="s">
        <v>2107</v>
      </c>
      <c r="M721" s="1" t="s">
        <v>1259</v>
      </c>
      <c r="N721" s="1" t="s">
        <v>12</v>
      </c>
      <c r="O721" s="1" t="s">
        <v>2108</v>
      </c>
    </row>
    <row r="722" spans="1:15" x14ac:dyDescent="0.4">
      <c r="A722" s="1" t="s">
        <v>3069</v>
      </c>
      <c r="B722" s="1" t="s">
        <v>3068</v>
      </c>
      <c r="C722" s="1" t="s">
        <v>3072</v>
      </c>
      <c r="D722" s="1" t="s">
        <v>3073</v>
      </c>
      <c r="E722" s="1" t="s">
        <v>2962</v>
      </c>
      <c r="F722" s="1" t="s">
        <v>14</v>
      </c>
      <c r="G722" s="4" t="str">
        <f>"08879-1741"</f>
        <v>08879-1741</v>
      </c>
      <c r="H722" s="1">
        <v>106</v>
      </c>
      <c r="I722" s="1">
        <v>18.2</v>
      </c>
      <c r="J722" s="1">
        <v>0</v>
      </c>
      <c r="K722" s="1">
        <v>80</v>
      </c>
      <c r="L722" s="1" t="s">
        <v>739</v>
      </c>
      <c r="M722" s="1" t="s">
        <v>3070</v>
      </c>
      <c r="N722" s="1" t="s">
        <v>12</v>
      </c>
      <c r="O722" s="1" t="s">
        <v>3071</v>
      </c>
    </row>
    <row r="723" spans="1:15" x14ac:dyDescent="0.4">
      <c r="A723" s="1" t="s">
        <v>1823</v>
      </c>
      <c r="B723" s="1" t="s">
        <v>1817</v>
      </c>
      <c r="C723" s="1" t="s">
        <v>1825</v>
      </c>
      <c r="D723" s="1" t="s">
        <v>1819</v>
      </c>
      <c r="E723" s="1" t="s">
        <v>4681</v>
      </c>
      <c r="F723" s="1" t="s">
        <v>14</v>
      </c>
      <c r="G723" s="4" t="str">
        <f>"07009"</f>
        <v>07009</v>
      </c>
      <c r="H723" s="1">
        <v>14</v>
      </c>
      <c r="I723" s="1">
        <v>4</v>
      </c>
      <c r="J723" s="1">
        <v>0</v>
      </c>
      <c r="K723" s="1">
        <v>77</v>
      </c>
      <c r="L723" s="1" t="s">
        <v>208</v>
      </c>
      <c r="M723" s="1" t="s">
        <v>1587</v>
      </c>
      <c r="N723" s="1" t="s">
        <v>12</v>
      </c>
      <c r="O723" s="1" t="s">
        <v>1824</v>
      </c>
    </row>
    <row r="724" spans="1:15" x14ac:dyDescent="0.4">
      <c r="A724" s="1" t="s">
        <v>2296</v>
      </c>
      <c r="B724" s="1" t="s">
        <v>2295</v>
      </c>
      <c r="C724" s="1" t="s">
        <v>2299</v>
      </c>
      <c r="D724" s="1" t="s">
        <v>2300</v>
      </c>
      <c r="E724" s="1" t="s">
        <v>4677</v>
      </c>
      <c r="F724" s="1" t="s">
        <v>14</v>
      </c>
      <c r="G724" s="4" t="str">
        <f>"08039-0112"</f>
        <v>08039-0112</v>
      </c>
      <c r="H724" s="1">
        <v>60</v>
      </c>
      <c r="I724" s="1">
        <v>17.399999999999999</v>
      </c>
      <c r="J724" s="1">
        <v>0</v>
      </c>
      <c r="K724" s="1">
        <v>31</v>
      </c>
      <c r="L724" s="1" t="s">
        <v>951</v>
      </c>
      <c r="M724" s="1" t="s">
        <v>2297</v>
      </c>
      <c r="N724" s="1" t="s">
        <v>12</v>
      </c>
      <c r="O724" s="1" t="s">
        <v>2298</v>
      </c>
    </row>
    <row r="725" spans="1:15" x14ac:dyDescent="0.4">
      <c r="A725" s="1" t="s">
        <v>2727</v>
      </c>
      <c r="B725" s="1" t="s">
        <v>2726</v>
      </c>
      <c r="C725" s="1" t="s">
        <v>2730</v>
      </c>
      <c r="D725" s="1" t="s">
        <v>2731</v>
      </c>
      <c r="E725" s="1" t="s">
        <v>4682</v>
      </c>
      <c r="F725" s="1" t="s">
        <v>14</v>
      </c>
      <c r="G725" s="4" t="str">
        <f>"08530"</f>
        <v>08530</v>
      </c>
      <c r="H725" s="1">
        <v>28</v>
      </c>
      <c r="I725" s="1">
        <v>10.6</v>
      </c>
      <c r="J725" s="1">
        <v>0</v>
      </c>
      <c r="K725" s="1">
        <v>56</v>
      </c>
      <c r="L725" s="1" t="s">
        <v>2728</v>
      </c>
      <c r="M725" s="1" t="s">
        <v>2073</v>
      </c>
      <c r="N725" s="1" t="s">
        <v>12</v>
      </c>
      <c r="O725" s="1" t="s">
        <v>2729</v>
      </c>
    </row>
    <row r="726" spans="1:15" x14ac:dyDescent="0.4">
      <c r="A726" s="1" t="s">
        <v>241</v>
      </c>
      <c r="B726" s="1" t="s">
        <v>222</v>
      </c>
      <c r="C726" s="1" t="s">
        <v>246</v>
      </c>
      <c r="D726" s="1" t="s">
        <v>228</v>
      </c>
      <c r="E726" s="1" t="s">
        <v>4674</v>
      </c>
      <c r="F726" s="1" t="s">
        <v>14</v>
      </c>
      <c r="G726" s="4" t="str">
        <f>"08232-3223"</f>
        <v>08232-3223</v>
      </c>
      <c r="H726" s="1">
        <v>55</v>
      </c>
      <c r="I726" s="1">
        <v>12.1</v>
      </c>
      <c r="J726" s="1">
        <v>0</v>
      </c>
      <c r="K726" s="1">
        <v>74</v>
      </c>
      <c r="L726" s="1" t="s">
        <v>242</v>
      </c>
      <c r="M726" s="1" t="s">
        <v>243</v>
      </c>
      <c r="N726" s="1" t="s">
        <v>244</v>
      </c>
      <c r="O726" s="1" t="s">
        <v>245</v>
      </c>
    </row>
    <row r="727" spans="1:15" x14ac:dyDescent="0.4">
      <c r="A727" s="1" t="s">
        <v>1936</v>
      </c>
      <c r="B727" s="1" t="s">
        <v>1934</v>
      </c>
      <c r="C727" s="1" t="s">
        <v>1939</v>
      </c>
      <c r="D727" s="1" t="s">
        <v>1935</v>
      </c>
      <c r="E727" s="1" t="s">
        <v>4681</v>
      </c>
      <c r="F727" s="1" t="s">
        <v>14</v>
      </c>
      <c r="G727" s="4" t="str">
        <f>"07041"</f>
        <v>07041</v>
      </c>
      <c r="H727" s="1">
        <v>10</v>
      </c>
      <c r="I727" s="1">
        <v>3.6</v>
      </c>
      <c r="J727" s="1">
        <v>0</v>
      </c>
      <c r="K727" s="1">
        <v>41</v>
      </c>
      <c r="L727" s="1" t="s">
        <v>175</v>
      </c>
      <c r="M727" s="1" t="s">
        <v>1937</v>
      </c>
      <c r="N727" s="1" t="s">
        <v>12</v>
      </c>
      <c r="O727" s="1" t="s">
        <v>1938</v>
      </c>
    </row>
    <row r="728" spans="1:15" x14ac:dyDescent="0.4">
      <c r="A728" s="1" t="s">
        <v>3122</v>
      </c>
      <c r="B728" s="1" t="s">
        <v>3121</v>
      </c>
      <c r="C728" s="1" t="s">
        <v>3123</v>
      </c>
      <c r="D728" s="1" t="s">
        <v>3124</v>
      </c>
      <c r="E728" s="1" t="s">
        <v>2962</v>
      </c>
      <c r="F728" s="1" t="s">
        <v>14</v>
      </c>
      <c r="G728" s="4" t="str">
        <f>"08882"</f>
        <v>08882</v>
      </c>
      <c r="H728" s="1">
        <v>151</v>
      </c>
      <c r="I728" s="1">
        <v>100</v>
      </c>
      <c r="J728" s="1">
        <v>0</v>
      </c>
      <c r="K728" s="1">
        <v>0</v>
      </c>
      <c r="L728" s="1"/>
      <c r="M728" s="1"/>
      <c r="N728" s="1"/>
      <c r="O728" s="1"/>
    </row>
    <row r="729" spans="1:15" x14ac:dyDescent="0.4">
      <c r="A729" s="1" t="s">
        <v>3125</v>
      </c>
      <c r="B729" s="1" t="s">
        <v>3121</v>
      </c>
      <c r="C729" s="1" t="s">
        <v>3128</v>
      </c>
      <c r="D729" s="1" t="s">
        <v>3124</v>
      </c>
      <c r="E729" s="1" t="s">
        <v>2962</v>
      </c>
      <c r="F729" s="1" t="s">
        <v>14</v>
      </c>
      <c r="G729" s="4" t="str">
        <f>"08882"</f>
        <v>08882</v>
      </c>
      <c r="H729" s="1">
        <v>30</v>
      </c>
      <c r="I729" s="1">
        <v>5.9</v>
      </c>
      <c r="J729" s="1">
        <v>0</v>
      </c>
      <c r="K729" s="1">
        <v>164</v>
      </c>
      <c r="L729" s="1" t="s">
        <v>549</v>
      </c>
      <c r="M729" s="1" t="s">
        <v>3126</v>
      </c>
      <c r="N729" s="1" t="s">
        <v>12</v>
      </c>
      <c r="O729" s="1" t="s">
        <v>3127</v>
      </c>
    </row>
    <row r="730" spans="1:15" x14ac:dyDescent="0.4">
      <c r="A730" s="1" t="s">
        <v>2110</v>
      </c>
      <c r="B730" s="1" t="s">
        <v>1952</v>
      </c>
      <c r="C730" s="1" t="s">
        <v>2112</v>
      </c>
      <c r="D730" s="1" t="s">
        <v>1610</v>
      </c>
      <c r="E730" s="1" t="s">
        <v>4681</v>
      </c>
      <c r="F730" s="1" t="s">
        <v>14</v>
      </c>
      <c r="G730" s="4" t="str">
        <f>"07105"</f>
        <v>07105</v>
      </c>
      <c r="H730" s="1">
        <v>120</v>
      </c>
      <c r="I730" s="1">
        <v>13.9</v>
      </c>
      <c r="J730" s="1">
        <v>0</v>
      </c>
      <c r="K730" s="1">
        <v>73</v>
      </c>
      <c r="L730" s="1" t="s">
        <v>277</v>
      </c>
      <c r="M730" s="1" t="s">
        <v>1408</v>
      </c>
      <c r="N730" s="1" t="s">
        <v>12</v>
      </c>
      <c r="O730" s="1" t="s">
        <v>2111</v>
      </c>
    </row>
    <row r="731" spans="1:15" x14ac:dyDescent="0.4">
      <c r="A731" s="1" t="s">
        <v>3035</v>
      </c>
      <c r="B731" s="1" t="s">
        <v>3028</v>
      </c>
      <c r="C731" s="1" t="s">
        <v>3037</v>
      </c>
      <c r="D731" s="1" t="s">
        <v>3029</v>
      </c>
      <c r="E731" s="1" t="s">
        <v>2962</v>
      </c>
      <c r="F731" s="1" t="s">
        <v>14</v>
      </c>
      <c r="G731" s="4" t="str">
        <f>"08857-1453"</f>
        <v>08857-1453</v>
      </c>
      <c r="H731" s="1">
        <v>40</v>
      </c>
      <c r="I731" s="1">
        <v>10.9</v>
      </c>
      <c r="J731" s="1">
        <v>0</v>
      </c>
      <c r="K731" s="1">
        <v>33</v>
      </c>
      <c r="L731" s="1" t="s">
        <v>87</v>
      </c>
      <c r="M731" s="1" t="s">
        <v>139</v>
      </c>
      <c r="N731" s="1" t="s">
        <v>12</v>
      </c>
      <c r="O731" s="1" t="s">
        <v>3036</v>
      </c>
    </row>
    <row r="732" spans="1:15" x14ac:dyDescent="0.4">
      <c r="A732" s="1" t="s">
        <v>57</v>
      </c>
      <c r="B732" s="1" t="s">
        <v>23</v>
      </c>
      <c r="C732" s="1" t="s">
        <v>60</v>
      </c>
      <c r="D732" s="1" t="s">
        <v>25</v>
      </c>
      <c r="E732" s="1" t="s">
        <v>4674</v>
      </c>
      <c r="F732" s="1" t="s">
        <v>14</v>
      </c>
      <c r="G732" s="4" t="str">
        <f>"08401-3711"</f>
        <v>08401-3711</v>
      </c>
      <c r="H732" s="1">
        <v>100</v>
      </c>
      <c r="I732" s="1">
        <v>13.9</v>
      </c>
      <c r="J732" s="1">
        <v>0</v>
      </c>
      <c r="K732" s="1">
        <v>57</v>
      </c>
      <c r="L732" s="1" t="s">
        <v>58</v>
      </c>
      <c r="M732" s="1" t="s">
        <v>43</v>
      </c>
      <c r="N732" s="1" t="s">
        <v>12</v>
      </c>
      <c r="O732" s="1" t="s">
        <v>59</v>
      </c>
    </row>
    <row r="733" spans="1:15" x14ac:dyDescent="0.4">
      <c r="A733" s="1" t="s">
        <v>2113</v>
      </c>
      <c r="B733" s="1" t="s">
        <v>1952</v>
      </c>
      <c r="C733" s="1" t="s">
        <v>2116</v>
      </c>
      <c r="D733" s="1" t="s">
        <v>1610</v>
      </c>
      <c r="E733" s="1" t="s">
        <v>4681</v>
      </c>
      <c r="F733" s="1" t="s">
        <v>14</v>
      </c>
      <c r="G733" s="4" t="str">
        <f>"07106-2209"</f>
        <v>07106-2209</v>
      </c>
      <c r="H733" s="1">
        <v>59</v>
      </c>
      <c r="I733" s="1">
        <v>11.2</v>
      </c>
      <c r="J733" s="1">
        <v>0</v>
      </c>
      <c r="K733" s="1">
        <v>59</v>
      </c>
      <c r="L733" s="1" t="s">
        <v>651</v>
      </c>
      <c r="M733" s="1" t="s">
        <v>2114</v>
      </c>
      <c r="N733" s="1" t="s">
        <v>12</v>
      </c>
      <c r="O733" s="1" t="s">
        <v>2115</v>
      </c>
    </row>
    <row r="734" spans="1:15" x14ac:dyDescent="0.4">
      <c r="A734" s="1" t="s">
        <v>2129</v>
      </c>
      <c r="B734" s="1" t="s">
        <v>2127</v>
      </c>
      <c r="C734" s="1" t="s">
        <v>2132</v>
      </c>
      <c r="D734" s="1" t="s">
        <v>2128</v>
      </c>
      <c r="E734" s="1" t="s">
        <v>4681</v>
      </c>
      <c r="F734" s="1" t="s">
        <v>14</v>
      </c>
      <c r="G734" s="4" t="str">
        <f>"07110-1527"</f>
        <v>07110-1527</v>
      </c>
      <c r="H734" s="1">
        <v>226</v>
      </c>
      <c r="I734" s="1">
        <v>37.299999999999997</v>
      </c>
      <c r="J734" s="1">
        <v>0</v>
      </c>
      <c r="K734" s="1">
        <v>57</v>
      </c>
      <c r="L734" s="1" t="s">
        <v>779</v>
      </c>
      <c r="M734" s="1" t="s">
        <v>2130</v>
      </c>
      <c r="N734" s="1" t="s">
        <v>12</v>
      </c>
      <c r="O734" s="1" t="s">
        <v>2131</v>
      </c>
    </row>
    <row r="735" spans="1:15" x14ac:dyDescent="0.4">
      <c r="A735" s="1" t="s">
        <v>1133</v>
      </c>
      <c r="B735" s="1" t="s">
        <v>1119</v>
      </c>
      <c r="C735" s="1" t="s">
        <v>1136</v>
      </c>
      <c r="D735" s="1" t="s">
        <v>1137</v>
      </c>
      <c r="E735" s="1" t="s">
        <v>4676</v>
      </c>
      <c r="F735" s="1" t="s">
        <v>14</v>
      </c>
      <c r="G735" s="4" t="str">
        <f>"08054"</f>
        <v>08054</v>
      </c>
      <c r="H735" s="1">
        <v>32</v>
      </c>
      <c r="I735" s="1">
        <v>6.7</v>
      </c>
      <c r="J735" s="1">
        <v>0</v>
      </c>
      <c r="K735" s="1">
        <v>84</v>
      </c>
      <c r="L735" s="1" t="s">
        <v>1134</v>
      </c>
      <c r="M735" s="1" t="s">
        <v>829</v>
      </c>
      <c r="N735" s="1" t="s">
        <v>12</v>
      </c>
      <c r="O735" s="1" t="s">
        <v>1135</v>
      </c>
    </row>
    <row r="736" spans="1:15" x14ac:dyDescent="0.4">
      <c r="A736" s="1" t="s">
        <v>2629</v>
      </c>
      <c r="B736" s="1" t="s">
        <v>2622</v>
      </c>
      <c r="C736" s="1" t="s">
        <v>2631</v>
      </c>
      <c r="D736" s="1" t="s">
        <v>2623</v>
      </c>
      <c r="E736" s="1" t="s">
        <v>4682</v>
      </c>
      <c r="F736" s="1" t="s">
        <v>14</v>
      </c>
      <c r="G736" s="4" t="str">
        <f>"08809"</f>
        <v>08809</v>
      </c>
      <c r="H736" s="1">
        <v>84</v>
      </c>
      <c r="I736" s="1">
        <v>100</v>
      </c>
      <c r="J736" s="1">
        <v>0</v>
      </c>
      <c r="K736" s="1">
        <v>0</v>
      </c>
      <c r="L736" s="1" t="s">
        <v>322</v>
      </c>
      <c r="M736" s="1" t="s">
        <v>1996</v>
      </c>
      <c r="N736" s="1" t="s">
        <v>1294</v>
      </c>
      <c r="O736" s="1" t="s">
        <v>2630</v>
      </c>
    </row>
    <row r="737" spans="1:15" x14ac:dyDescent="0.4">
      <c r="A737" s="1" t="s">
        <v>4330</v>
      </c>
      <c r="B737" s="1" t="s">
        <v>4329</v>
      </c>
      <c r="C737" s="1" t="s">
        <v>4333</v>
      </c>
      <c r="D737" s="1" t="s">
        <v>4334</v>
      </c>
      <c r="E737" s="1" t="s">
        <v>4687</v>
      </c>
      <c r="F737" s="1" t="s">
        <v>14</v>
      </c>
      <c r="G737" s="4" t="str">
        <f>"07875"</f>
        <v>07875</v>
      </c>
      <c r="H737" s="1">
        <v>54</v>
      </c>
      <c r="I737" s="1">
        <v>18.2</v>
      </c>
      <c r="J737" s="1">
        <v>0</v>
      </c>
      <c r="K737" s="1">
        <v>38</v>
      </c>
      <c r="L737" s="1" t="s">
        <v>1382</v>
      </c>
      <c r="M737" s="1" t="s">
        <v>4331</v>
      </c>
      <c r="N737" s="1" t="s">
        <v>12</v>
      </c>
      <c r="O737" s="1" t="s">
        <v>4332</v>
      </c>
    </row>
    <row r="738" spans="1:15" x14ac:dyDescent="0.4">
      <c r="A738" s="1" t="s">
        <v>1745</v>
      </c>
      <c r="B738" s="1" t="s">
        <v>1744</v>
      </c>
      <c r="C738" s="1" t="s">
        <v>1747</v>
      </c>
      <c r="D738" s="1" t="s">
        <v>1683</v>
      </c>
      <c r="E738" s="1" t="s">
        <v>4680</v>
      </c>
      <c r="F738" s="1" t="s">
        <v>14</v>
      </c>
      <c r="G738" s="4" t="str">
        <f>"08302-8951"</f>
        <v>08302-8951</v>
      </c>
      <c r="H738" s="1">
        <v>19</v>
      </c>
      <c r="I738" s="1">
        <v>15</v>
      </c>
      <c r="J738" s="1">
        <v>0</v>
      </c>
      <c r="K738" s="1">
        <v>9</v>
      </c>
      <c r="L738" s="1" t="s">
        <v>831</v>
      </c>
      <c r="M738" s="1" t="s">
        <v>1714</v>
      </c>
      <c r="N738" s="1" t="s">
        <v>105</v>
      </c>
      <c r="O738" s="1" t="s">
        <v>1746</v>
      </c>
    </row>
    <row r="739" spans="1:15" x14ac:dyDescent="0.4">
      <c r="A739" s="1" t="s">
        <v>3308</v>
      </c>
      <c r="B739" s="1" t="s">
        <v>3292</v>
      </c>
      <c r="C739" s="1" t="s">
        <v>3311</v>
      </c>
      <c r="D739" s="1" t="s">
        <v>3303</v>
      </c>
      <c r="E739" s="1" t="s">
        <v>4684</v>
      </c>
      <c r="F739" s="1" t="s">
        <v>14</v>
      </c>
      <c r="G739" s="4" t="str">
        <f>"07747-1599"</f>
        <v>07747-1599</v>
      </c>
      <c r="H739" s="1">
        <v>52</v>
      </c>
      <c r="I739" s="1">
        <v>10.8</v>
      </c>
      <c r="J739" s="1">
        <v>0</v>
      </c>
      <c r="K739" s="1">
        <v>80</v>
      </c>
      <c r="L739" s="1" t="s">
        <v>77</v>
      </c>
      <c r="M739" s="1" t="s">
        <v>3309</v>
      </c>
      <c r="N739" s="1" t="s">
        <v>12</v>
      </c>
      <c r="O739" s="1" t="s">
        <v>3310</v>
      </c>
    </row>
    <row r="740" spans="1:15" x14ac:dyDescent="0.4">
      <c r="A740" s="1" t="s">
        <v>3367</v>
      </c>
      <c r="B740" s="1" t="s">
        <v>3351</v>
      </c>
      <c r="C740" s="1" t="s">
        <v>3370</v>
      </c>
      <c r="D740" s="1" t="s">
        <v>3343</v>
      </c>
      <c r="E740" s="1" t="s">
        <v>4684</v>
      </c>
      <c r="F740" s="1" t="s">
        <v>14</v>
      </c>
      <c r="G740" s="4" t="str">
        <f>"07753-3598"</f>
        <v>07753-3598</v>
      </c>
      <c r="H740" s="1">
        <v>71</v>
      </c>
      <c r="I740" s="1">
        <v>18.3</v>
      </c>
      <c r="J740" s="1">
        <v>0</v>
      </c>
      <c r="K740" s="1">
        <v>46</v>
      </c>
      <c r="L740" s="1" t="s">
        <v>3368</v>
      </c>
      <c r="M740" s="1" t="s">
        <v>1973</v>
      </c>
      <c r="N740" s="1" t="s">
        <v>12</v>
      </c>
      <c r="O740" s="1" t="s">
        <v>3369</v>
      </c>
    </row>
    <row r="741" spans="1:15" x14ac:dyDescent="0.4">
      <c r="A741" s="1" t="s">
        <v>714</v>
      </c>
      <c r="B741" s="1" t="s">
        <v>699</v>
      </c>
      <c r="C741" s="1" t="s">
        <v>717</v>
      </c>
      <c r="D741" s="1" t="s">
        <v>705</v>
      </c>
      <c r="E741" s="1" t="s">
        <v>4675</v>
      </c>
      <c r="F741" s="1" t="s">
        <v>14</v>
      </c>
      <c r="G741" s="4" t="str">
        <f>"07031"</f>
        <v>07031</v>
      </c>
      <c r="H741" s="1">
        <v>29</v>
      </c>
      <c r="I741" s="1">
        <v>9.8000000000000007</v>
      </c>
      <c r="J741" s="1">
        <v>0</v>
      </c>
      <c r="K741" s="1">
        <v>40</v>
      </c>
      <c r="L741" s="1" t="s">
        <v>40</v>
      </c>
      <c r="M741" s="1" t="s">
        <v>715</v>
      </c>
      <c r="N741" s="1" t="s">
        <v>12</v>
      </c>
      <c r="O741" s="1" t="s">
        <v>716</v>
      </c>
    </row>
    <row r="742" spans="1:15" x14ac:dyDescent="0.4">
      <c r="A742" s="1" t="s">
        <v>2117</v>
      </c>
      <c r="B742" s="1" t="s">
        <v>1952</v>
      </c>
      <c r="C742" s="1" t="s">
        <v>2120</v>
      </c>
      <c r="D742" s="1" t="s">
        <v>1610</v>
      </c>
      <c r="E742" s="1" t="s">
        <v>4681</v>
      </c>
      <c r="F742" s="1" t="s">
        <v>14</v>
      </c>
      <c r="G742" s="4" t="str">
        <f>"07107-3133"</f>
        <v>07107-3133</v>
      </c>
      <c r="H742" s="1">
        <v>56</v>
      </c>
      <c r="I742" s="1">
        <v>10.3</v>
      </c>
      <c r="J742" s="1">
        <v>0</v>
      </c>
      <c r="K742" s="1">
        <v>43</v>
      </c>
      <c r="L742" s="1" t="s">
        <v>2118</v>
      </c>
      <c r="M742" s="1" t="s">
        <v>1392</v>
      </c>
      <c r="N742" s="1" t="s">
        <v>12</v>
      </c>
      <c r="O742" s="1" t="s">
        <v>2119</v>
      </c>
    </row>
    <row r="743" spans="1:15" x14ac:dyDescent="0.4">
      <c r="A743" s="1" t="s">
        <v>2117</v>
      </c>
      <c r="B743" s="1" t="s">
        <v>3547</v>
      </c>
      <c r="C743" s="1" t="s">
        <v>3554</v>
      </c>
      <c r="D743" s="1" t="s">
        <v>1677</v>
      </c>
      <c r="E743" s="1" t="s">
        <v>4681</v>
      </c>
      <c r="F743" s="1" t="s">
        <v>14</v>
      </c>
      <c r="G743" s="4" t="str">
        <f>"07960"</f>
        <v>07960</v>
      </c>
      <c r="H743" s="1">
        <v>56</v>
      </c>
      <c r="I743" s="1">
        <v>10.3</v>
      </c>
      <c r="J743" s="1">
        <v>0</v>
      </c>
      <c r="K743" s="1">
        <v>43</v>
      </c>
      <c r="L743" s="1" t="s">
        <v>290</v>
      </c>
      <c r="M743" s="1" t="s">
        <v>3552</v>
      </c>
      <c r="N743" s="1" t="s">
        <v>12</v>
      </c>
      <c r="O743" s="1" t="s">
        <v>3553</v>
      </c>
    </row>
    <row r="744" spans="1:15" x14ac:dyDescent="0.4">
      <c r="A744" s="1" t="s">
        <v>125</v>
      </c>
      <c r="B744" s="1" t="s">
        <v>111</v>
      </c>
      <c r="C744" s="1" t="s">
        <v>129</v>
      </c>
      <c r="D744" s="1" t="s">
        <v>114</v>
      </c>
      <c r="E744" s="1" t="s">
        <v>4674</v>
      </c>
      <c r="F744" s="1" t="s">
        <v>14</v>
      </c>
      <c r="G744" s="4" t="str">
        <f>"08234-9697"</f>
        <v>08234-9697</v>
      </c>
      <c r="H744" s="1">
        <v>305</v>
      </c>
      <c r="I744" s="1">
        <v>21.4</v>
      </c>
      <c r="J744" s="1">
        <v>0</v>
      </c>
      <c r="K744" s="1">
        <v>269</v>
      </c>
      <c r="L744" s="1" t="s">
        <v>126</v>
      </c>
      <c r="M744" s="1" t="s">
        <v>127</v>
      </c>
      <c r="N744" s="1" t="s">
        <v>12</v>
      </c>
      <c r="O744" s="1" t="s">
        <v>128</v>
      </c>
    </row>
    <row r="745" spans="1:15" x14ac:dyDescent="0.4">
      <c r="A745" s="1" t="s">
        <v>3722</v>
      </c>
      <c r="B745" s="1" t="s">
        <v>3700</v>
      </c>
      <c r="C745" s="1" t="s">
        <v>3724</v>
      </c>
      <c r="D745" s="1" t="s">
        <v>939</v>
      </c>
      <c r="E745" s="1" t="s">
        <v>4685</v>
      </c>
      <c r="F745" s="1" t="s">
        <v>14</v>
      </c>
      <c r="G745" s="4" t="str">
        <f>"08527-3497"</f>
        <v>08527-3497</v>
      </c>
      <c r="H745" s="1">
        <v>26</v>
      </c>
      <c r="I745" s="1">
        <v>3.4</v>
      </c>
      <c r="J745" s="1">
        <v>0</v>
      </c>
      <c r="K745" s="1">
        <v>98</v>
      </c>
      <c r="L745" s="1" t="s">
        <v>176</v>
      </c>
      <c r="M745" s="1" t="s">
        <v>1643</v>
      </c>
      <c r="N745" s="1" t="s">
        <v>12</v>
      </c>
      <c r="O745" s="1" t="s">
        <v>3723</v>
      </c>
    </row>
    <row r="746" spans="1:15" x14ac:dyDescent="0.4">
      <c r="A746" s="1" t="s">
        <v>3219</v>
      </c>
      <c r="B746" s="1" t="s">
        <v>3217</v>
      </c>
      <c r="C746" s="1" t="s">
        <v>3222</v>
      </c>
      <c r="D746" s="1" t="s">
        <v>3218</v>
      </c>
      <c r="E746" s="1" t="s">
        <v>4684</v>
      </c>
      <c r="F746" s="1" t="s">
        <v>14</v>
      </c>
      <c r="G746" s="4" t="str">
        <f>"07730-1859"</f>
        <v>07730-1859</v>
      </c>
      <c r="H746" s="1">
        <v>15</v>
      </c>
      <c r="I746" s="1">
        <v>4.4000000000000004</v>
      </c>
      <c r="J746" s="1">
        <v>0</v>
      </c>
      <c r="K746" s="1">
        <v>206</v>
      </c>
      <c r="L746" s="1" t="s">
        <v>110</v>
      </c>
      <c r="M746" s="1" t="s">
        <v>3220</v>
      </c>
      <c r="N746" s="1" t="s">
        <v>12</v>
      </c>
      <c r="O746" s="1" t="s">
        <v>3221</v>
      </c>
    </row>
    <row r="747" spans="1:15" x14ac:dyDescent="0.4">
      <c r="A747" s="1" t="s">
        <v>751</v>
      </c>
      <c r="B747" s="1" t="s">
        <v>749</v>
      </c>
      <c r="C747" s="1" t="s">
        <v>754</v>
      </c>
      <c r="D747" s="1" t="s">
        <v>750</v>
      </c>
      <c r="E747" s="1" t="s">
        <v>4675</v>
      </c>
      <c r="F747" s="1" t="s">
        <v>14</v>
      </c>
      <c r="G747" s="4" t="str">
        <f>"07675"</f>
        <v>07675</v>
      </c>
      <c r="H747" s="1">
        <v>12</v>
      </c>
      <c r="I747" s="1">
        <v>3.2</v>
      </c>
      <c r="J747" s="1">
        <v>0</v>
      </c>
      <c r="K747" s="1">
        <v>52</v>
      </c>
      <c r="L747" s="1" t="s">
        <v>16</v>
      </c>
      <c r="M747" s="1" t="s">
        <v>752</v>
      </c>
      <c r="N747" s="1" t="s">
        <v>12</v>
      </c>
      <c r="O747" s="1" t="s">
        <v>753</v>
      </c>
    </row>
    <row r="748" spans="1:15" x14ac:dyDescent="0.4">
      <c r="A748" s="1" t="s">
        <v>1181</v>
      </c>
      <c r="B748" s="1" t="s">
        <v>1180</v>
      </c>
      <c r="C748" s="1" t="s">
        <v>1184</v>
      </c>
      <c r="D748" s="1" t="s">
        <v>1055</v>
      </c>
      <c r="E748" s="1" t="s">
        <v>4676</v>
      </c>
      <c r="F748" s="1" t="s">
        <v>14</v>
      </c>
      <c r="G748" s="4" t="str">
        <f>"08088"</f>
        <v>08088</v>
      </c>
      <c r="H748" s="1">
        <v>50</v>
      </c>
      <c r="I748" s="1">
        <v>12</v>
      </c>
      <c r="J748" s="1">
        <v>0</v>
      </c>
      <c r="K748" s="1">
        <v>73</v>
      </c>
      <c r="L748" s="1" t="s">
        <v>794</v>
      </c>
      <c r="M748" s="1" t="s">
        <v>1182</v>
      </c>
      <c r="N748" s="1" t="s">
        <v>12</v>
      </c>
      <c r="O748" s="1" t="s">
        <v>1183</v>
      </c>
    </row>
    <row r="749" spans="1:15" x14ac:dyDescent="0.4">
      <c r="A749" s="1" t="s">
        <v>1101</v>
      </c>
      <c r="B749" s="1" t="s">
        <v>1079</v>
      </c>
      <c r="C749" s="1" t="s">
        <v>1105</v>
      </c>
      <c r="D749" s="1" t="s">
        <v>1054</v>
      </c>
      <c r="E749" s="1" t="s">
        <v>4676</v>
      </c>
      <c r="F749" s="1" t="s">
        <v>14</v>
      </c>
      <c r="G749" s="4" t="str">
        <f>"08055"</f>
        <v>08055</v>
      </c>
      <c r="H749" s="1">
        <v>32</v>
      </c>
      <c r="I749" s="1">
        <v>10.1</v>
      </c>
      <c r="J749" s="1">
        <v>0</v>
      </c>
      <c r="K749" s="1">
        <v>48</v>
      </c>
      <c r="L749" s="1" t="s">
        <v>1102</v>
      </c>
      <c r="M749" s="1" t="s">
        <v>1103</v>
      </c>
      <c r="N749" s="1" t="s">
        <v>12</v>
      </c>
      <c r="O749" s="1" t="s">
        <v>1104</v>
      </c>
    </row>
    <row r="750" spans="1:15" x14ac:dyDescent="0.4">
      <c r="A750" s="1" t="s">
        <v>4662</v>
      </c>
      <c r="B750" s="1" t="s">
        <v>4661</v>
      </c>
      <c r="C750" s="1" t="s">
        <v>4664</v>
      </c>
      <c r="D750" s="1" t="s">
        <v>4630</v>
      </c>
      <c r="E750" s="1" t="s">
        <v>76</v>
      </c>
      <c r="F750" s="1" t="s">
        <v>14</v>
      </c>
      <c r="G750" s="4" t="str">
        <f>"07882-1494"</f>
        <v>07882-1494</v>
      </c>
      <c r="H750" s="1">
        <v>63</v>
      </c>
      <c r="I750" s="1">
        <v>22.6</v>
      </c>
      <c r="J750" s="1">
        <v>0</v>
      </c>
      <c r="K750" s="1">
        <v>74</v>
      </c>
      <c r="L750" s="1" t="s">
        <v>786</v>
      </c>
      <c r="M750" s="1" t="s">
        <v>1392</v>
      </c>
      <c r="N750" s="1" t="s">
        <v>12</v>
      </c>
      <c r="O750" s="1" t="s">
        <v>4663</v>
      </c>
    </row>
    <row r="751" spans="1:15" x14ac:dyDescent="0.4">
      <c r="A751" s="1" t="s">
        <v>4415</v>
      </c>
      <c r="B751" s="1" t="s">
        <v>4361</v>
      </c>
      <c r="C751" s="1" t="s">
        <v>4418</v>
      </c>
      <c r="D751" s="1" t="s">
        <v>2423</v>
      </c>
      <c r="E751" s="1" t="s">
        <v>4594</v>
      </c>
      <c r="F751" s="1" t="s">
        <v>14</v>
      </c>
      <c r="G751" s="4" t="str">
        <f>"07206"</f>
        <v>07206</v>
      </c>
      <c r="H751" s="1">
        <v>112</v>
      </c>
      <c r="I751" s="1">
        <v>9.9</v>
      </c>
      <c r="J751" s="1">
        <v>0</v>
      </c>
      <c r="K751" s="1">
        <v>0</v>
      </c>
      <c r="L751" s="1" t="s">
        <v>920</v>
      </c>
      <c r="M751" s="1" t="s">
        <v>4416</v>
      </c>
      <c r="N751" s="1" t="s">
        <v>12</v>
      </c>
      <c r="O751" s="1" t="s">
        <v>4417</v>
      </c>
    </row>
    <row r="752" spans="1:15" x14ac:dyDescent="0.4">
      <c r="A752" s="1" t="s">
        <v>2737</v>
      </c>
      <c r="B752" s="1" t="s">
        <v>2736</v>
      </c>
      <c r="C752" s="1" t="s">
        <v>2739</v>
      </c>
      <c r="D752" s="1" t="s">
        <v>2621</v>
      </c>
      <c r="E752" s="1" t="s">
        <v>4682</v>
      </c>
      <c r="F752" s="1" t="s">
        <v>14</v>
      </c>
      <c r="G752" s="4" t="str">
        <f>"07830"</f>
        <v>07830</v>
      </c>
      <c r="H752" s="1">
        <v>12</v>
      </c>
      <c r="I752" s="1">
        <v>4.7</v>
      </c>
      <c r="J752" s="1">
        <v>0</v>
      </c>
      <c r="K752" s="1">
        <v>47</v>
      </c>
      <c r="L752" s="1" t="s">
        <v>165</v>
      </c>
      <c r="M752" s="1" t="s">
        <v>1176</v>
      </c>
      <c r="N752" s="1" t="s">
        <v>12</v>
      </c>
      <c r="O752" s="1" t="s">
        <v>2738</v>
      </c>
    </row>
    <row r="753" spans="1:15" x14ac:dyDescent="0.4">
      <c r="A753" s="1" t="s">
        <v>1798</v>
      </c>
      <c r="B753" s="1" t="s">
        <v>1791</v>
      </c>
      <c r="C753" s="1" t="s">
        <v>1801</v>
      </c>
      <c r="D753" s="1" t="s">
        <v>1792</v>
      </c>
      <c r="E753" s="1" t="s">
        <v>4681</v>
      </c>
      <c r="F753" s="1" t="s">
        <v>14</v>
      </c>
      <c r="G753" s="4" t="str">
        <f>"07003"</f>
        <v>07003</v>
      </c>
      <c r="H753" s="1">
        <v>137</v>
      </c>
      <c r="I753" s="1">
        <v>86.7</v>
      </c>
      <c r="J753" s="1">
        <v>0</v>
      </c>
      <c r="K753" s="1">
        <v>0</v>
      </c>
      <c r="L753" s="1" t="s">
        <v>912</v>
      </c>
      <c r="M753" s="1" t="s">
        <v>1799</v>
      </c>
      <c r="N753" s="1" t="s">
        <v>12</v>
      </c>
      <c r="O753" s="1" t="s">
        <v>1800</v>
      </c>
    </row>
    <row r="754" spans="1:15" x14ac:dyDescent="0.4">
      <c r="A754" s="1" t="s">
        <v>1666</v>
      </c>
      <c r="B754" s="1" t="s">
        <v>1665</v>
      </c>
      <c r="C754" s="1" t="s">
        <v>1669</v>
      </c>
      <c r="D754" s="1" t="s">
        <v>1624</v>
      </c>
      <c r="E754" s="1" t="s">
        <v>4679</v>
      </c>
      <c r="F754" s="1" t="s">
        <v>14</v>
      </c>
      <c r="G754" s="4" t="str">
        <f>"07306"</f>
        <v>07306</v>
      </c>
      <c r="H754" s="1">
        <v>16</v>
      </c>
      <c r="I754" s="1">
        <v>4.5</v>
      </c>
      <c r="J754" s="1">
        <v>0</v>
      </c>
      <c r="K754" s="1">
        <v>38</v>
      </c>
      <c r="L754" s="1" t="s">
        <v>1667</v>
      </c>
      <c r="M754" s="1" t="s">
        <v>33</v>
      </c>
      <c r="N754" s="1" t="s">
        <v>12</v>
      </c>
      <c r="O754" s="1" t="s">
        <v>1668</v>
      </c>
    </row>
    <row r="755" spans="1:15" x14ac:dyDescent="0.4">
      <c r="A755" s="1" t="s">
        <v>2250</v>
      </c>
      <c r="B755" s="1" t="s">
        <v>2246</v>
      </c>
      <c r="C755" s="1" t="s">
        <v>2251</v>
      </c>
      <c r="D755" s="1" t="s">
        <v>2248</v>
      </c>
      <c r="E755" s="1" t="s">
        <v>4677</v>
      </c>
      <c r="F755" s="1" t="s">
        <v>14</v>
      </c>
      <c r="G755" s="4" t="str">
        <f>"08085"</f>
        <v>08085</v>
      </c>
      <c r="H755" s="1">
        <v>115</v>
      </c>
      <c r="I755" s="1">
        <v>61.8</v>
      </c>
      <c r="J755" s="1">
        <v>0</v>
      </c>
      <c r="K755" s="1">
        <v>71</v>
      </c>
      <c r="L755" s="1" t="s">
        <v>2247</v>
      </c>
      <c r="M755" s="1" t="s">
        <v>506</v>
      </c>
      <c r="N755" s="1" t="s">
        <v>12</v>
      </c>
      <c r="O755" s="1" t="s">
        <v>2249</v>
      </c>
    </row>
    <row r="756" spans="1:15" x14ac:dyDescent="0.4">
      <c r="A756" s="1" t="s">
        <v>4548</v>
      </c>
      <c r="B756" s="1" t="s">
        <v>4537</v>
      </c>
      <c r="C756" s="1" t="s">
        <v>4549</v>
      </c>
      <c r="D756" s="1" t="s">
        <v>4541</v>
      </c>
      <c r="E756" s="1" t="s">
        <v>4594</v>
      </c>
      <c r="F756" s="1" t="s">
        <v>14</v>
      </c>
      <c r="G756" s="4" t="str">
        <f>"07081-3011"</f>
        <v>07081-3011</v>
      </c>
      <c r="H756" s="1">
        <v>29</v>
      </c>
      <c r="I756" s="1">
        <v>10.5</v>
      </c>
      <c r="J756" s="1">
        <v>0</v>
      </c>
      <c r="K756" s="1">
        <v>43</v>
      </c>
      <c r="L756" s="1" t="s">
        <v>1177</v>
      </c>
      <c r="M756" s="1" t="s">
        <v>4542</v>
      </c>
      <c r="N756" s="1" t="s">
        <v>12</v>
      </c>
      <c r="O756" s="1" t="s">
        <v>4543</v>
      </c>
    </row>
    <row r="757" spans="1:15" x14ac:dyDescent="0.4">
      <c r="A757" s="1" t="s">
        <v>881</v>
      </c>
      <c r="B757" s="1" t="s">
        <v>878</v>
      </c>
      <c r="C757" s="1" t="s">
        <v>884</v>
      </c>
      <c r="D757" s="1" t="s">
        <v>879</v>
      </c>
      <c r="E757" s="1" t="s">
        <v>4675</v>
      </c>
      <c r="F757" s="1" t="s">
        <v>14</v>
      </c>
      <c r="G757" s="4" t="str">
        <f>"07666"</f>
        <v>07666</v>
      </c>
      <c r="H757" s="1">
        <v>60</v>
      </c>
      <c r="I757" s="1">
        <v>52.2</v>
      </c>
      <c r="J757" s="1">
        <v>0</v>
      </c>
      <c r="K757" s="1">
        <v>55</v>
      </c>
      <c r="L757" s="1" t="s">
        <v>18</v>
      </c>
      <c r="M757" s="1" t="s">
        <v>882</v>
      </c>
      <c r="N757" s="1" t="s">
        <v>12</v>
      </c>
      <c r="O757" s="1" t="s">
        <v>883</v>
      </c>
    </row>
    <row r="758" spans="1:15" x14ac:dyDescent="0.4">
      <c r="A758" s="1" t="s">
        <v>2570</v>
      </c>
      <c r="B758" s="1" t="s">
        <v>2553</v>
      </c>
      <c r="C758" s="1" t="s">
        <v>2573</v>
      </c>
      <c r="D758" s="1" t="s">
        <v>2554</v>
      </c>
      <c r="E758" s="1" t="s">
        <v>2239</v>
      </c>
      <c r="F758" s="1" t="s">
        <v>14</v>
      </c>
      <c r="G758" s="4" t="str">
        <f>"07087-6317"</f>
        <v>07087-6317</v>
      </c>
      <c r="H758" s="1">
        <v>9</v>
      </c>
      <c r="I758" s="1">
        <v>1</v>
      </c>
      <c r="J758" s="1">
        <v>0</v>
      </c>
      <c r="K758" s="1">
        <v>109</v>
      </c>
      <c r="L758" s="1" t="s">
        <v>588</v>
      </c>
      <c r="M758" s="1" t="s">
        <v>2571</v>
      </c>
      <c r="N758" s="1" t="s">
        <v>12</v>
      </c>
      <c r="O758" s="1" t="s">
        <v>2572</v>
      </c>
    </row>
    <row r="759" spans="1:15" x14ac:dyDescent="0.4">
      <c r="A759" s="1" t="s">
        <v>2121</v>
      </c>
      <c r="B759" s="1" t="s">
        <v>1952</v>
      </c>
      <c r="C759" s="1" t="s">
        <v>2125</v>
      </c>
      <c r="D759" s="1" t="s">
        <v>1610</v>
      </c>
      <c r="E759" s="1" t="s">
        <v>4681</v>
      </c>
      <c r="F759" s="1" t="s">
        <v>14</v>
      </c>
      <c r="G759" s="4" t="str">
        <f>"07103-2125"</f>
        <v>07103-2125</v>
      </c>
      <c r="H759" s="1">
        <v>98</v>
      </c>
      <c r="I759" s="1">
        <v>11.8</v>
      </c>
      <c r="J759" s="1">
        <v>0</v>
      </c>
      <c r="K759" s="1">
        <v>98</v>
      </c>
      <c r="L759" s="1" t="s">
        <v>2122</v>
      </c>
      <c r="M759" s="1" t="s">
        <v>2123</v>
      </c>
      <c r="N759" s="1" t="s">
        <v>12</v>
      </c>
      <c r="O759" s="1" t="s">
        <v>2124</v>
      </c>
    </row>
    <row r="760" spans="1:15" x14ac:dyDescent="0.4">
      <c r="A760" s="1" t="s">
        <v>2574</v>
      </c>
      <c r="B760" s="1" t="s">
        <v>2553</v>
      </c>
      <c r="C760" s="1" t="s">
        <v>2578</v>
      </c>
      <c r="D760" s="1" t="s">
        <v>2554</v>
      </c>
      <c r="E760" s="1" t="s">
        <v>2239</v>
      </c>
      <c r="F760" s="1" t="s">
        <v>14</v>
      </c>
      <c r="G760" s="4" t="str">
        <f>"07087-2811"</f>
        <v>07087-2811</v>
      </c>
      <c r="H760" s="1">
        <v>35</v>
      </c>
      <c r="I760" s="1">
        <v>4.5999999999999996</v>
      </c>
      <c r="J760" s="1">
        <v>0</v>
      </c>
      <c r="K760" s="1">
        <v>93</v>
      </c>
      <c r="L760" s="1" t="s">
        <v>2575</v>
      </c>
      <c r="M760" s="1" t="s">
        <v>2576</v>
      </c>
      <c r="N760" s="1" t="s">
        <v>12</v>
      </c>
      <c r="O760" s="1" t="s">
        <v>2577</v>
      </c>
    </row>
    <row r="761" spans="1:15" x14ac:dyDescent="0.4">
      <c r="A761" s="1" t="s">
        <v>2604</v>
      </c>
      <c r="B761" s="1" t="s">
        <v>2602</v>
      </c>
      <c r="C761" s="1" t="s">
        <v>2608</v>
      </c>
      <c r="D761" s="1" t="s">
        <v>2603</v>
      </c>
      <c r="E761" s="1" t="s">
        <v>4682</v>
      </c>
      <c r="F761" s="1" t="s">
        <v>14</v>
      </c>
      <c r="G761" s="4" t="str">
        <f>"08802-1135"</f>
        <v>08802-1135</v>
      </c>
      <c r="H761" s="1">
        <v>19</v>
      </c>
      <c r="I761" s="1">
        <v>7.4</v>
      </c>
      <c r="J761" s="1">
        <v>0</v>
      </c>
      <c r="K761" s="1">
        <v>38</v>
      </c>
      <c r="L761" s="1" t="s">
        <v>2605</v>
      </c>
      <c r="M761" s="1" t="s">
        <v>2606</v>
      </c>
      <c r="N761" s="1" t="s">
        <v>12</v>
      </c>
      <c r="O761" s="1" t="s">
        <v>2607</v>
      </c>
    </row>
    <row r="762" spans="1:15" x14ac:dyDescent="0.4">
      <c r="A762" s="1" t="s">
        <v>1282</v>
      </c>
      <c r="B762" s="1" t="s">
        <v>1254</v>
      </c>
      <c r="C762" s="1" t="s">
        <v>1285</v>
      </c>
      <c r="D762" s="1" t="s">
        <v>1271</v>
      </c>
      <c r="E762" s="1" t="s">
        <v>1271</v>
      </c>
      <c r="F762" s="1" t="s">
        <v>14</v>
      </c>
      <c r="G762" s="4" t="str">
        <f>"08105-1160"</f>
        <v>08105-1160</v>
      </c>
      <c r="H762" s="1">
        <v>57</v>
      </c>
      <c r="I762" s="1">
        <v>10.4</v>
      </c>
      <c r="J762" s="1">
        <v>0</v>
      </c>
      <c r="K762" s="1">
        <v>63</v>
      </c>
      <c r="L762" s="1" t="s">
        <v>1283</v>
      </c>
      <c r="M762" s="1" t="s">
        <v>464</v>
      </c>
      <c r="N762" s="1" t="s">
        <v>12</v>
      </c>
      <c r="O762" s="1" t="s">
        <v>1284</v>
      </c>
    </row>
    <row r="763" spans="1:15" x14ac:dyDescent="0.4">
      <c r="A763" s="1" t="s">
        <v>1472</v>
      </c>
      <c r="B763" s="1" t="s">
        <v>1470</v>
      </c>
      <c r="C763" s="1" t="s">
        <v>1475</v>
      </c>
      <c r="D763" s="1" t="s">
        <v>1471</v>
      </c>
      <c r="E763" s="1" t="s">
        <v>1271</v>
      </c>
      <c r="F763" s="1" t="s">
        <v>14</v>
      </c>
      <c r="G763" s="4" t="str">
        <f>"08004-1325"</f>
        <v>08004-1325</v>
      </c>
      <c r="H763" s="1">
        <v>153</v>
      </c>
      <c r="I763" s="1">
        <v>59.5</v>
      </c>
      <c r="J763" s="1">
        <v>0</v>
      </c>
      <c r="K763" s="1">
        <v>104</v>
      </c>
      <c r="L763" s="1" t="s">
        <v>470</v>
      </c>
      <c r="M763" s="1" t="s">
        <v>1473</v>
      </c>
      <c r="N763" s="1" t="s">
        <v>12</v>
      </c>
      <c r="O763" s="1" t="s">
        <v>1474</v>
      </c>
    </row>
    <row r="764" spans="1:15" x14ac:dyDescent="0.4">
      <c r="A764" s="1" t="s">
        <v>1324</v>
      </c>
      <c r="B764" s="1" t="s">
        <v>1312</v>
      </c>
      <c r="C764" s="1" t="s">
        <v>1328</v>
      </c>
      <c r="D764" s="1" t="s">
        <v>1329</v>
      </c>
      <c r="E764" s="1" t="s">
        <v>1271</v>
      </c>
      <c r="F764" s="1" t="s">
        <v>14</v>
      </c>
      <c r="G764" s="4" t="str">
        <f>"08107"</f>
        <v>08107</v>
      </c>
      <c r="H764" s="1">
        <v>78</v>
      </c>
      <c r="I764" s="1">
        <v>37</v>
      </c>
      <c r="J764" s="1">
        <v>0</v>
      </c>
      <c r="K764" s="1">
        <v>24</v>
      </c>
      <c r="L764" s="1" t="s">
        <v>1325</v>
      </c>
      <c r="M764" s="1" t="s">
        <v>1326</v>
      </c>
      <c r="N764" s="1" t="s">
        <v>12</v>
      </c>
      <c r="O764" s="1" t="s">
        <v>1327</v>
      </c>
    </row>
    <row r="765" spans="1:15" x14ac:dyDescent="0.4">
      <c r="A765" s="1" t="s">
        <v>2719</v>
      </c>
      <c r="B765" s="1" t="s">
        <v>2717</v>
      </c>
      <c r="C765" s="1" t="s">
        <v>2721</v>
      </c>
      <c r="D765" s="1" t="s">
        <v>2722</v>
      </c>
      <c r="E765" s="1" t="s">
        <v>4682</v>
      </c>
      <c r="F765" s="1" t="s">
        <v>14</v>
      </c>
      <c r="G765" s="4" t="str">
        <f>"08887"</f>
        <v>08887</v>
      </c>
      <c r="H765" s="1">
        <v>23</v>
      </c>
      <c r="I765" s="1">
        <v>7.8</v>
      </c>
      <c r="J765" s="1">
        <v>0</v>
      </c>
      <c r="K765" s="1">
        <v>76</v>
      </c>
      <c r="L765" s="1" t="s">
        <v>1658</v>
      </c>
      <c r="M765" s="1" t="s">
        <v>406</v>
      </c>
      <c r="N765" s="1" t="s">
        <v>12</v>
      </c>
      <c r="O765" s="1" t="s">
        <v>2720</v>
      </c>
    </row>
    <row r="766" spans="1:15" x14ac:dyDescent="0.4">
      <c r="A766" s="1" t="s">
        <v>1919</v>
      </c>
      <c r="B766" s="1" t="s">
        <v>1897</v>
      </c>
      <c r="C766" s="1" t="s">
        <v>1922</v>
      </c>
      <c r="D766" s="1" t="s">
        <v>1593</v>
      </c>
      <c r="E766" s="1" t="s">
        <v>4681</v>
      </c>
      <c r="F766" s="1" t="s">
        <v>14</v>
      </c>
      <c r="G766" s="4" t="str">
        <f>"07111"</f>
        <v>07111</v>
      </c>
      <c r="H766" s="1">
        <v>89</v>
      </c>
      <c r="I766" s="1">
        <v>22.6</v>
      </c>
      <c r="J766" s="1">
        <v>0</v>
      </c>
      <c r="K766" s="1">
        <v>62</v>
      </c>
      <c r="L766" s="1" t="s">
        <v>165</v>
      </c>
      <c r="M766" s="1" t="s">
        <v>1920</v>
      </c>
      <c r="N766" s="1" t="s">
        <v>12</v>
      </c>
      <c r="O766" s="1" t="s">
        <v>1921</v>
      </c>
    </row>
    <row r="767" spans="1:15" x14ac:dyDescent="0.4">
      <c r="A767" s="1" t="s">
        <v>1919</v>
      </c>
      <c r="B767" s="1" t="s">
        <v>3156</v>
      </c>
      <c r="C767" s="1" t="s">
        <v>3160</v>
      </c>
      <c r="D767" s="1" t="s">
        <v>1621</v>
      </c>
      <c r="E767" s="1" t="s">
        <v>4681</v>
      </c>
      <c r="F767" s="1" t="s">
        <v>14</v>
      </c>
      <c r="G767" s="4" t="str">
        <f>"07712"</f>
        <v>07712</v>
      </c>
      <c r="H767" s="1">
        <v>89</v>
      </c>
      <c r="I767" s="1">
        <v>22.6</v>
      </c>
      <c r="J767" s="1">
        <v>0</v>
      </c>
      <c r="K767" s="1">
        <v>62</v>
      </c>
      <c r="L767" s="1" t="s">
        <v>3157</v>
      </c>
      <c r="M767" s="1" t="s">
        <v>3158</v>
      </c>
      <c r="N767" s="1" t="s">
        <v>12</v>
      </c>
      <c r="O767" s="1" t="s">
        <v>3159</v>
      </c>
    </row>
    <row r="768" spans="1:15" x14ac:dyDescent="0.4">
      <c r="A768" s="1" t="s">
        <v>742</v>
      </c>
      <c r="B768" s="1" t="s">
        <v>738</v>
      </c>
      <c r="C768" s="1" t="s">
        <v>746</v>
      </c>
      <c r="D768" s="1" t="s">
        <v>747</v>
      </c>
      <c r="E768" s="1" t="s">
        <v>4675</v>
      </c>
      <c r="F768" s="1" t="s">
        <v>14</v>
      </c>
      <c r="G768" s="4" t="str">
        <f>"07436-2924"</f>
        <v>07436-2924</v>
      </c>
      <c r="H768" s="1">
        <v>3</v>
      </c>
      <c r="I768" s="1">
        <v>13.6</v>
      </c>
      <c r="J768" s="1">
        <v>0</v>
      </c>
      <c r="K768" s="1">
        <v>0</v>
      </c>
      <c r="L768" s="1" t="s">
        <v>40</v>
      </c>
      <c r="M768" s="1" t="s">
        <v>743</v>
      </c>
      <c r="N768" s="1" t="s">
        <v>744</v>
      </c>
      <c r="O768" s="1" t="s">
        <v>745</v>
      </c>
    </row>
    <row r="769" spans="1:15" x14ac:dyDescent="0.4">
      <c r="A769" s="1" t="s">
        <v>2853</v>
      </c>
      <c r="B769" s="1" t="s">
        <v>2846</v>
      </c>
      <c r="C769" s="1" t="s">
        <v>2856</v>
      </c>
      <c r="D769" s="1" t="s">
        <v>2847</v>
      </c>
      <c r="E769" s="1" t="s">
        <v>4683</v>
      </c>
      <c r="F769" s="1" t="s">
        <v>14</v>
      </c>
      <c r="G769" s="4" t="str">
        <f>"08536"</f>
        <v>08536</v>
      </c>
      <c r="H769" s="1">
        <v>8</v>
      </c>
      <c r="I769" s="1">
        <v>1.8</v>
      </c>
      <c r="J769" s="1">
        <v>0</v>
      </c>
      <c r="K769" s="1">
        <v>116</v>
      </c>
      <c r="L769" s="1" t="s">
        <v>78</v>
      </c>
      <c r="M769" s="1" t="s">
        <v>2854</v>
      </c>
      <c r="N769" s="1" t="s">
        <v>12</v>
      </c>
      <c r="O769" s="1" t="s">
        <v>2855</v>
      </c>
    </row>
    <row r="770" spans="1:15" x14ac:dyDescent="0.4">
      <c r="A770" s="1" t="s">
        <v>4181</v>
      </c>
      <c r="B770" s="1" t="s">
        <v>4179</v>
      </c>
      <c r="C770" s="1" t="s">
        <v>4184</v>
      </c>
      <c r="D770" s="1" t="s">
        <v>4180</v>
      </c>
      <c r="E770" s="1" t="s">
        <v>1597</v>
      </c>
      <c r="F770" s="1" t="s">
        <v>14</v>
      </c>
      <c r="G770" s="4" t="str">
        <f>"08844"</f>
        <v>08844</v>
      </c>
      <c r="H770" s="1">
        <v>7</v>
      </c>
      <c r="I770" s="1">
        <v>1.9</v>
      </c>
      <c r="J770" s="1">
        <v>37</v>
      </c>
      <c r="K770" s="1">
        <v>19</v>
      </c>
      <c r="L770" s="1" t="s">
        <v>265</v>
      </c>
      <c r="M770" s="1" t="s">
        <v>4182</v>
      </c>
      <c r="N770" s="1" t="s">
        <v>12</v>
      </c>
      <c r="O770" s="1" t="s">
        <v>4183</v>
      </c>
    </row>
    <row r="771" spans="1:15" x14ac:dyDescent="0.4">
      <c r="A771" s="1" t="s">
        <v>3845</v>
      </c>
      <c r="B771" s="1" t="s">
        <v>3844</v>
      </c>
      <c r="C771" s="1" t="s">
        <v>3848</v>
      </c>
      <c r="D771" s="1" t="s">
        <v>3849</v>
      </c>
      <c r="E771" s="1" t="s">
        <v>4685</v>
      </c>
      <c r="F771" s="1" t="s">
        <v>14</v>
      </c>
      <c r="G771" s="4" t="str">
        <f>"08087"</f>
        <v>08087</v>
      </c>
      <c r="H771" s="1">
        <v>54</v>
      </c>
      <c r="I771" s="1">
        <v>17.5</v>
      </c>
      <c r="J771" s="1">
        <v>0</v>
      </c>
      <c r="K771" s="1">
        <v>36</v>
      </c>
      <c r="L771" s="1" t="s">
        <v>3846</v>
      </c>
      <c r="M771" s="1" t="s">
        <v>1620</v>
      </c>
      <c r="N771" s="1" t="s">
        <v>12</v>
      </c>
      <c r="O771" s="1" t="s">
        <v>3847</v>
      </c>
    </row>
    <row r="772" spans="1:15" x14ac:dyDescent="0.4">
      <c r="A772" s="1" t="s">
        <v>2741</v>
      </c>
      <c r="B772" s="1" t="s">
        <v>2740</v>
      </c>
      <c r="C772" s="1" t="s">
        <v>2745</v>
      </c>
      <c r="D772" s="1" t="s">
        <v>2684</v>
      </c>
      <c r="E772" s="1" t="s">
        <v>4682</v>
      </c>
      <c r="F772" s="1" t="s">
        <v>14</v>
      </c>
      <c r="G772" s="4" t="str">
        <f>"08827"</f>
        <v>08827</v>
      </c>
      <c r="H772" s="1">
        <v>53</v>
      </c>
      <c r="I772" s="1">
        <v>20.5</v>
      </c>
      <c r="J772" s="1">
        <v>0</v>
      </c>
      <c r="K772" s="1">
        <v>49</v>
      </c>
      <c r="L772" s="1" t="s">
        <v>2742</v>
      </c>
      <c r="M772" s="1" t="s">
        <v>2743</v>
      </c>
      <c r="N772" s="1" t="s">
        <v>12</v>
      </c>
      <c r="O772" s="1" t="s">
        <v>2744</v>
      </c>
    </row>
    <row r="773" spans="1:15" x14ac:dyDescent="0.4">
      <c r="A773" s="1" t="s">
        <v>1377</v>
      </c>
      <c r="B773" s="1" t="s">
        <v>1348</v>
      </c>
      <c r="C773" s="1" t="s">
        <v>1381</v>
      </c>
      <c r="D773" s="1" t="s">
        <v>1353</v>
      </c>
      <c r="E773" s="1" t="s">
        <v>1271</v>
      </c>
      <c r="F773" s="1" t="s">
        <v>14</v>
      </c>
      <c r="G773" s="4" t="str">
        <f>"08081"</f>
        <v>08081</v>
      </c>
      <c r="H773" s="1">
        <v>2</v>
      </c>
      <c r="I773" s="1">
        <v>0.4</v>
      </c>
      <c r="J773" s="1">
        <v>0</v>
      </c>
      <c r="K773" s="1">
        <v>84</v>
      </c>
      <c r="L773" s="1" t="s">
        <v>1378</v>
      </c>
      <c r="M773" s="1" t="s">
        <v>1379</v>
      </c>
      <c r="N773" s="1" t="s">
        <v>12</v>
      </c>
      <c r="O773" s="1" t="s">
        <v>1380</v>
      </c>
    </row>
    <row r="774" spans="1:15" x14ac:dyDescent="0.4">
      <c r="A774" s="1" t="s">
        <v>1923</v>
      </c>
      <c r="B774" s="1" t="s">
        <v>1897</v>
      </c>
      <c r="C774" s="1" t="s">
        <v>1927</v>
      </c>
      <c r="D774" s="1" t="s">
        <v>1593</v>
      </c>
      <c r="E774" s="1" t="s">
        <v>4681</v>
      </c>
      <c r="F774" s="1" t="s">
        <v>14</v>
      </c>
      <c r="G774" s="4" t="str">
        <f>"07111"</f>
        <v>07111</v>
      </c>
      <c r="H774" s="1">
        <v>30</v>
      </c>
      <c r="I774" s="1">
        <v>7.8</v>
      </c>
      <c r="J774" s="1">
        <v>0</v>
      </c>
      <c r="K774" s="1">
        <v>63</v>
      </c>
      <c r="L774" s="1" t="s">
        <v>1924</v>
      </c>
      <c r="M774" s="1" t="s">
        <v>1925</v>
      </c>
      <c r="N774" s="1" t="s">
        <v>12</v>
      </c>
      <c r="O774" s="1" t="s">
        <v>1926</v>
      </c>
    </row>
    <row r="775" spans="1:15" x14ac:dyDescent="0.4">
      <c r="A775" s="1" t="s">
        <v>2763</v>
      </c>
      <c r="B775" s="1" t="s">
        <v>2756</v>
      </c>
      <c r="C775" s="1" t="s">
        <v>2766</v>
      </c>
      <c r="D775" s="1" t="s">
        <v>2757</v>
      </c>
      <c r="E775" s="1" t="s">
        <v>4683</v>
      </c>
      <c r="F775" s="1" t="s">
        <v>14</v>
      </c>
      <c r="G775" s="4" t="str">
        <f>"08690"</f>
        <v>08690</v>
      </c>
      <c r="H775" s="1">
        <v>20</v>
      </c>
      <c r="I775" s="1">
        <v>6.5</v>
      </c>
      <c r="J775" s="1">
        <v>0</v>
      </c>
      <c r="K775" s="1">
        <v>49</v>
      </c>
      <c r="L775" s="1" t="s">
        <v>444</v>
      </c>
      <c r="M775" s="1" t="s">
        <v>2764</v>
      </c>
      <c r="N775" s="1" t="s">
        <v>12</v>
      </c>
      <c r="O775" s="1" t="s">
        <v>2765</v>
      </c>
    </row>
    <row r="776" spans="1:15" x14ac:dyDescent="0.4">
      <c r="A776" s="1" t="s">
        <v>4106</v>
      </c>
      <c r="B776" s="1" t="s">
        <v>4105</v>
      </c>
      <c r="C776" s="1" t="s">
        <v>4108</v>
      </c>
      <c r="D776" s="1" t="s">
        <v>4109</v>
      </c>
      <c r="E776" s="1" t="s">
        <v>4686</v>
      </c>
      <c r="F776" s="1" t="s">
        <v>14</v>
      </c>
      <c r="G776" s="4" t="str">
        <f>"08343-9402"</f>
        <v>08343-9402</v>
      </c>
      <c r="H776" s="1">
        <v>40</v>
      </c>
      <c r="I776" s="1">
        <v>11.8</v>
      </c>
      <c r="J776" s="1">
        <v>0</v>
      </c>
      <c r="K776" s="1">
        <v>39</v>
      </c>
      <c r="L776" s="1" t="s">
        <v>289</v>
      </c>
      <c r="M776" s="1" t="s">
        <v>43</v>
      </c>
      <c r="N776" s="1" t="s">
        <v>134</v>
      </c>
      <c r="O776" s="1" t="s">
        <v>4107</v>
      </c>
    </row>
    <row r="777" spans="1:15" x14ac:dyDescent="0.4">
      <c r="A777" s="1" t="s">
        <v>1560</v>
      </c>
      <c r="B777" s="1" t="s">
        <v>1558</v>
      </c>
      <c r="C777" s="1" t="s">
        <v>1562</v>
      </c>
      <c r="D777" s="1" t="s">
        <v>1559</v>
      </c>
      <c r="E777" s="1" t="s">
        <v>4678</v>
      </c>
      <c r="F777" s="1" t="s">
        <v>14</v>
      </c>
      <c r="G777" s="4" t="str">
        <f>"08223"</f>
        <v>08223</v>
      </c>
      <c r="H777" s="1">
        <v>64</v>
      </c>
      <c r="I777" s="1">
        <v>13.9</v>
      </c>
      <c r="J777" s="1">
        <v>0</v>
      </c>
      <c r="K777" s="1">
        <v>127</v>
      </c>
      <c r="L777" s="1" t="s">
        <v>97</v>
      </c>
      <c r="M777" s="1" t="s">
        <v>240</v>
      </c>
      <c r="N777" s="1" t="s">
        <v>12</v>
      </c>
      <c r="O777" s="1" t="s">
        <v>1561</v>
      </c>
    </row>
    <row r="778" spans="1:15" x14ac:dyDescent="0.4">
      <c r="A778" s="1" t="s">
        <v>61</v>
      </c>
      <c r="B778" s="1" t="s">
        <v>23</v>
      </c>
      <c r="C778" s="1" t="s">
        <v>65</v>
      </c>
      <c r="D778" s="1" t="s">
        <v>25</v>
      </c>
      <c r="E778" s="1" t="s">
        <v>4674</v>
      </c>
      <c r="F778" s="1" t="s">
        <v>14</v>
      </c>
      <c r="G778" s="4" t="str">
        <f>"08401-5417"</f>
        <v>08401-5417</v>
      </c>
      <c r="H778" s="1">
        <v>72</v>
      </c>
      <c r="I778" s="1">
        <v>13.9</v>
      </c>
      <c r="J778" s="1">
        <v>0</v>
      </c>
      <c r="K778" s="1">
        <v>42</v>
      </c>
      <c r="L778" s="1" t="s">
        <v>62</v>
      </c>
      <c r="M778" s="1" t="s">
        <v>63</v>
      </c>
      <c r="N778" s="1" t="s">
        <v>12</v>
      </c>
      <c r="O778" s="1" t="s">
        <v>64</v>
      </c>
    </row>
    <row r="779" spans="1:15" x14ac:dyDescent="0.4">
      <c r="A779" s="1" t="s">
        <v>4074</v>
      </c>
      <c r="B779" s="1" t="s">
        <v>4068</v>
      </c>
      <c r="C779" s="1" t="s">
        <v>4078</v>
      </c>
      <c r="D779" s="1" t="s">
        <v>4069</v>
      </c>
      <c r="E779" s="1" t="s">
        <v>4686</v>
      </c>
      <c r="F779" s="1" t="s">
        <v>14</v>
      </c>
      <c r="G779" s="4" t="str">
        <f>"08070"</f>
        <v>08070</v>
      </c>
      <c r="H779" s="1">
        <v>133</v>
      </c>
      <c r="I779" s="1">
        <v>36.4</v>
      </c>
      <c r="J779" s="1">
        <v>0</v>
      </c>
      <c r="K779" s="1">
        <v>104</v>
      </c>
      <c r="L779" s="1" t="s">
        <v>4075</v>
      </c>
      <c r="M779" s="1" t="s">
        <v>4076</v>
      </c>
      <c r="N779" s="1" t="s">
        <v>12</v>
      </c>
      <c r="O779" s="1" t="s">
        <v>4077</v>
      </c>
    </row>
    <row r="780" spans="1:15" x14ac:dyDescent="0.4">
      <c r="A780" s="1" t="s">
        <v>4325</v>
      </c>
      <c r="B780" s="1" t="s">
        <v>4324</v>
      </c>
      <c r="C780" s="1" t="s">
        <v>4328</v>
      </c>
      <c r="D780" s="1" t="s">
        <v>4247</v>
      </c>
      <c r="E780" s="1" t="s">
        <v>4687</v>
      </c>
      <c r="F780" s="1" t="s">
        <v>14</v>
      </c>
      <c r="G780" s="4" t="str">
        <f>"07874"</f>
        <v>07874</v>
      </c>
      <c r="H780" s="1">
        <v>23</v>
      </c>
      <c r="I780" s="1">
        <v>6.6</v>
      </c>
      <c r="J780" s="1">
        <v>0</v>
      </c>
      <c r="K780" s="1">
        <v>29</v>
      </c>
      <c r="L780" s="1" t="s">
        <v>701</v>
      </c>
      <c r="M780" s="1" t="s">
        <v>4326</v>
      </c>
      <c r="N780" s="1" t="s">
        <v>12</v>
      </c>
      <c r="O780" s="1" t="s">
        <v>4327</v>
      </c>
    </row>
    <row r="781" spans="1:15" x14ac:dyDescent="0.4">
      <c r="A781" s="1" t="s">
        <v>4325</v>
      </c>
      <c r="B781" s="1" t="s">
        <v>4351</v>
      </c>
      <c r="C781" s="1" t="s">
        <v>4360</v>
      </c>
      <c r="D781" s="1" t="s">
        <v>4352</v>
      </c>
      <c r="E781" s="1" t="s">
        <v>4687</v>
      </c>
      <c r="F781" s="1" t="s">
        <v>14</v>
      </c>
      <c r="G781" s="4" t="str">
        <f>"07066"</f>
        <v>07066</v>
      </c>
      <c r="H781" s="1">
        <v>23</v>
      </c>
      <c r="I781" s="1">
        <v>6.6</v>
      </c>
      <c r="J781" s="1">
        <v>0</v>
      </c>
      <c r="K781" s="1">
        <v>29</v>
      </c>
      <c r="L781" s="1" t="s">
        <v>77</v>
      </c>
      <c r="M781" s="1" t="s">
        <v>4358</v>
      </c>
      <c r="N781" s="1" t="s">
        <v>12</v>
      </c>
      <c r="O781" s="1" t="s">
        <v>4359</v>
      </c>
    </row>
    <row r="782" spans="1:15" x14ac:dyDescent="0.4">
      <c r="A782" s="1" t="s">
        <v>2708</v>
      </c>
      <c r="B782" s="1" t="s">
        <v>2707</v>
      </c>
      <c r="C782" s="1" t="s">
        <v>2711</v>
      </c>
      <c r="D782" s="1" t="s">
        <v>2621</v>
      </c>
      <c r="E782" s="1" t="s">
        <v>4682</v>
      </c>
      <c r="F782" s="1" t="s">
        <v>14</v>
      </c>
      <c r="G782" s="4" t="str">
        <f>"07830-9231"</f>
        <v>07830-9231</v>
      </c>
      <c r="H782" s="1">
        <v>1</v>
      </c>
      <c r="I782" s="1">
        <v>0.4</v>
      </c>
      <c r="J782" s="1">
        <v>0</v>
      </c>
      <c r="K782" s="1">
        <v>31</v>
      </c>
      <c r="L782" s="1" t="s">
        <v>1755</v>
      </c>
      <c r="M782" s="1" t="s">
        <v>2709</v>
      </c>
      <c r="N782" s="1" t="s">
        <v>12</v>
      </c>
      <c r="O782" s="1" t="s">
        <v>2710</v>
      </c>
    </row>
    <row r="783" spans="1:15" x14ac:dyDescent="0.4">
      <c r="A783" s="1" t="s">
        <v>2708</v>
      </c>
      <c r="B783" s="1" t="s">
        <v>3537</v>
      </c>
      <c r="C783" s="1" t="s">
        <v>3539</v>
      </c>
      <c r="D783" s="1" t="s">
        <v>3540</v>
      </c>
      <c r="E783" s="1" t="s">
        <v>4682</v>
      </c>
      <c r="F783" s="1" t="s">
        <v>14</v>
      </c>
      <c r="G783" s="4" t="str">
        <f>"07045"</f>
        <v>07045</v>
      </c>
      <c r="H783" s="1">
        <v>1</v>
      </c>
      <c r="I783" s="1">
        <v>0.4</v>
      </c>
      <c r="J783" s="1">
        <v>0</v>
      </c>
      <c r="K783" s="1">
        <v>31</v>
      </c>
      <c r="L783" s="1" t="s">
        <v>153</v>
      </c>
      <c r="M783" s="1" t="s">
        <v>1637</v>
      </c>
      <c r="N783" s="1" t="s">
        <v>12</v>
      </c>
      <c r="O783" s="1" t="s">
        <v>3538</v>
      </c>
    </row>
    <row r="784" spans="1:15" x14ac:dyDescent="0.4">
      <c r="A784" s="1" t="s">
        <v>2708</v>
      </c>
      <c r="B784" s="1" t="s">
        <v>4230</v>
      </c>
      <c r="C784" s="1" t="s">
        <v>4239</v>
      </c>
      <c r="D784" s="1" t="s">
        <v>4235</v>
      </c>
      <c r="E784" s="1" t="s">
        <v>4682</v>
      </c>
      <c r="F784" s="1" t="s">
        <v>14</v>
      </c>
      <c r="G784" s="4" t="str">
        <f>"07069"</f>
        <v>07069</v>
      </c>
      <c r="H784" s="1">
        <v>1</v>
      </c>
      <c r="I784" s="1">
        <v>0.4</v>
      </c>
      <c r="J784" s="1">
        <v>0</v>
      </c>
      <c r="K784" s="1">
        <v>31</v>
      </c>
      <c r="L784" s="1" t="s">
        <v>4236</v>
      </c>
      <c r="M784" s="1" t="s">
        <v>4237</v>
      </c>
      <c r="N784" s="1" t="s">
        <v>12</v>
      </c>
      <c r="O784" s="1" t="s">
        <v>4238</v>
      </c>
    </row>
    <row r="785" spans="1:15" x14ac:dyDescent="0.4">
      <c r="A785" s="1" t="s">
        <v>4219</v>
      </c>
      <c r="B785" s="1" t="s">
        <v>4218</v>
      </c>
      <c r="C785" s="1" t="s">
        <v>4222</v>
      </c>
      <c r="D785" s="1" t="s">
        <v>1201</v>
      </c>
      <c r="E785" s="1" t="s">
        <v>1597</v>
      </c>
      <c r="F785" s="1" t="s">
        <v>14</v>
      </c>
      <c r="G785" s="4" t="str">
        <f>"08876"</f>
        <v>08876</v>
      </c>
      <c r="H785" s="1">
        <v>68</v>
      </c>
      <c r="I785" s="1">
        <v>9.1</v>
      </c>
      <c r="J785" s="1">
        <v>0</v>
      </c>
      <c r="K785" s="1">
        <v>108</v>
      </c>
      <c r="L785" s="1" t="s">
        <v>442</v>
      </c>
      <c r="M785" s="1" t="s">
        <v>4220</v>
      </c>
      <c r="N785" s="1" t="s">
        <v>12</v>
      </c>
      <c r="O785" s="1" t="s">
        <v>4221</v>
      </c>
    </row>
    <row r="786" spans="1:15" x14ac:dyDescent="0.4">
      <c r="A786" s="1" t="s">
        <v>66</v>
      </c>
      <c r="B786" s="1" t="s">
        <v>23</v>
      </c>
      <c r="C786" s="1" t="s">
        <v>67</v>
      </c>
      <c r="D786" s="1" t="s">
        <v>25</v>
      </c>
      <c r="E786" s="1" t="s">
        <v>4674</v>
      </c>
      <c r="F786" s="1" t="s">
        <v>14</v>
      </c>
      <c r="G786" s="4" t="str">
        <f>"08401-1710"</f>
        <v>08401-1710</v>
      </c>
      <c r="H786" s="1">
        <v>39</v>
      </c>
      <c r="I786" s="1">
        <v>100</v>
      </c>
      <c r="J786" s="1">
        <v>0</v>
      </c>
      <c r="K786" s="1">
        <v>0</v>
      </c>
      <c r="L786" s="1" t="s">
        <v>36</v>
      </c>
      <c r="M786" s="1" t="s">
        <v>37</v>
      </c>
      <c r="N786" s="1" t="s">
        <v>12</v>
      </c>
      <c r="O786" s="1" t="s">
        <v>38</v>
      </c>
    </row>
    <row r="787" spans="1:15" x14ac:dyDescent="0.4">
      <c r="A787" s="1" t="s">
        <v>258</v>
      </c>
      <c r="B787" s="1" t="s">
        <v>257</v>
      </c>
      <c r="C787" s="1" t="s">
        <v>262</v>
      </c>
      <c r="D787" s="1" t="s">
        <v>263</v>
      </c>
      <c r="E787" s="1" t="s">
        <v>4674</v>
      </c>
      <c r="F787" s="1" t="s">
        <v>14</v>
      </c>
      <c r="G787" s="4" t="str">
        <f>"08406"</f>
        <v>08406</v>
      </c>
      <c r="H787" s="1">
        <v>82</v>
      </c>
      <c r="I787" s="1">
        <v>25.8</v>
      </c>
      <c r="J787" s="1">
        <v>0</v>
      </c>
      <c r="K787" s="1">
        <v>43</v>
      </c>
      <c r="L787" s="1" t="s">
        <v>259</v>
      </c>
      <c r="M787" s="1" t="s">
        <v>260</v>
      </c>
      <c r="N787" s="1" t="s">
        <v>12</v>
      </c>
      <c r="O787" s="1" t="s">
        <v>261</v>
      </c>
    </row>
    <row r="788" spans="1:15" x14ac:dyDescent="0.4">
      <c r="A788" s="1" t="s">
        <v>4705</v>
      </c>
      <c r="B788" s="1" t="s">
        <v>2553</v>
      </c>
      <c r="C788" s="1" t="s">
        <v>2581</v>
      </c>
      <c r="D788" s="1" t="s">
        <v>2554</v>
      </c>
      <c r="E788" s="1" t="s">
        <v>2239</v>
      </c>
      <c r="F788" s="1" t="s">
        <v>14</v>
      </c>
      <c r="G788" s="4" t="str">
        <f>"07087"</f>
        <v>07087</v>
      </c>
      <c r="H788" s="1">
        <v>43</v>
      </c>
      <c r="I788" s="1">
        <v>8.6</v>
      </c>
      <c r="J788" s="1">
        <v>0</v>
      </c>
      <c r="K788" s="1">
        <v>56</v>
      </c>
      <c r="L788" s="1" t="s">
        <v>199</v>
      </c>
      <c r="M788" s="1" t="s">
        <v>2579</v>
      </c>
      <c r="N788" s="1" t="s">
        <v>12</v>
      </c>
      <c r="O788" s="1" t="s">
        <v>2580</v>
      </c>
    </row>
    <row r="789" spans="1:15" x14ac:dyDescent="0.4">
      <c r="A789" s="1" t="s">
        <v>1286</v>
      </c>
      <c r="B789" s="1" t="s">
        <v>1254</v>
      </c>
      <c r="C789" s="1" t="s">
        <v>1289</v>
      </c>
      <c r="D789" s="1" t="s">
        <v>1212</v>
      </c>
      <c r="E789" s="1" t="s">
        <v>1271</v>
      </c>
      <c r="F789" s="1" t="s">
        <v>14</v>
      </c>
      <c r="G789" s="4" t="str">
        <f>"08105"</f>
        <v>08105</v>
      </c>
      <c r="H789" s="1">
        <v>45</v>
      </c>
      <c r="I789" s="1">
        <v>9.5</v>
      </c>
      <c r="J789" s="1">
        <v>0</v>
      </c>
      <c r="K789" s="1">
        <v>44</v>
      </c>
      <c r="L789" s="1" t="s">
        <v>880</v>
      </c>
      <c r="M789" s="1" t="s">
        <v>1287</v>
      </c>
      <c r="N789" s="1" t="s">
        <v>12</v>
      </c>
      <c r="O789" s="1" t="s">
        <v>1288</v>
      </c>
    </row>
    <row r="790" spans="1:15" x14ac:dyDescent="0.4">
      <c r="A790" s="1" t="s">
        <v>4422</v>
      </c>
      <c r="B790" s="1" t="s">
        <v>4361</v>
      </c>
      <c r="C790" s="1" t="s">
        <v>4425</v>
      </c>
      <c r="D790" s="1" t="s">
        <v>2423</v>
      </c>
      <c r="E790" s="1" t="s">
        <v>4594</v>
      </c>
      <c r="F790" s="1" t="s">
        <v>14</v>
      </c>
      <c r="G790" s="4" t="str">
        <f>"07208"</f>
        <v>07208</v>
      </c>
      <c r="H790" s="1">
        <v>45</v>
      </c>
      <c r="I790" s="1">
        <v>7.1</v>
      </c>
      <c r="J790" s="1">
        <v>0</v>
      </c>
      <c r="K790" s="1">
        <v>49</v>
      </c>
      <c r="L790" s="1" t="s">
        <v>176</v>
      </c>
      <c r="M790" s="1" t="s">
        <v>4423</v>
      </c>
      <c r="N790" s="1" t="s">
        <v>12</v>
      </c>
      <c r="O790" s="1" t="s">
        <v>4424</v>
      </c>
    </row>
    <row r="791" spans="1:15" x14ac:dyDescent="0.4">
      <c r="A791" s="1" t="s">
        <v>3225</v>
      </c>
      <c r="B791" s="1" t="s">
        <v>3223</v>
      </c>
      <c r="C791" s="1" t="s">
        <v>3227</v>
      </c>
      <c r="D791" s="1" t="s">
        <v>3224</v>
      </c>
      <c r="E791" s="1" t="s">
        <v>4684</v>
      </c>
      <c r="F791" s="1" t="s">
        <v>14</v>
      </c>
      <c r="G791" s="4" t="str">
        <f>"07733-2299"</f>
        <v>07733-2299</v>
      </c>
      <c r="H791" s="1">
        <v>94</v>
      </c>
      <c r="I791" s="1">
        <v>11.4</v>
      </c>
      <c r="J791" s="1">
        <v>0</v>
      </c>
      <c r="K791" s="1">
        <v>164</v>
      </c>
      <c r="L791" s="1" t="s">
        <v>1569</v>
      </c>
      <c r="M791" s="1" t="s">
        <v>2865</v>
      </c>
      <c r="N791" s="1" t="s">
        <v>12</v>
      </c>
      <c r="O791" s="1" t="s">
        <v>3226</v>
      </c>
    </row>
    <row r="792" spans="1:15" x14ac:dyDescent="0.4">
      <c r="A792" s="1" t="s">
        <v>3937</v>
      </c>
      <c r="B792" s="1" t="s">
        <v>3919</v>
      </c>
      <c r="C792" s="1" t="s">
        <v>3939</v>
      </c>
      <c r="D792" s="1" t="s">
        <v>1651</v>
      </c>
      <c r="E792" s="1" t="s">
        <v>1651</v>
      </c>
      <c r="F792" s="1" t="s">
        <v>14</v>
      </c>
      <c r="G792" s="4" t="str">
        <f>"07055"</f>
        <v>07055</v>
      </c>
      <c r="H792" s="1">
        <v>110</v>
      </c>
      <c r="I792" s="1">
        <v>74.8</v>
      </c>
      <c r="J792" s="1">
        <v>0</v>
      </c>
      <c r="K792" s="1">
        <v>37</v>
      </c>
      <c r="L792" s="1" t="s">
        <v>830</v>
      </c>
      <c r="M792" s="1" t="s">
        <v>1408</v>
      </c>
      <c r="N792" s="1" t="s">
        <v>12</v>
      </c>
      <c r="O792" s="1" t="s">
        <v>3938</v>
      </c>
    </row>
    <row r="793" spans="1:15" x14ac:dyDescent="0.4">
      <c r="A793" s="1" t="s">
        <v>1678</v>
      </c>
      <c r="B793" s="1" t="s">
        <v>1678</v>
      </c>
      <c r="C793" s="1" t="s">
        <v>1680</v>
      </c>
      <c r="D793" s="1" t="s">
        <v>1681</v>
      </c>
      <c r="E793" s="1" t="s">
        <v>4679</v>
      </c>
      <c r="F793" s="1" t="s">
        <v>14</v>
      </c>
      <c r="G793" s="4" t="str">
        <f>"08361"</f>
        <v>08361</v>
      </c>
      <c r="H793" s="1">
        <v>30</v>
      </c>
      <c r="I793" s="1">
        <v>7</v>
      </c>
      <c r="J793" s="1">
        <v>0</v>
      </c>
      <c r="K793" s="1">
        <v>31</v>
      </c>
      <c r="L793" s="1" t="s">
        <v>989</v>
      </c>
      <c r="M793" s="1" t="s">
        <v>477</v>
      </c>
      <c r="N793" s="1" t="s">
        <v>1294</v>
      </c>
      <c r="O793" s="1" t="s">
        <v>1679</v>
      </c>
    </row>
    <row r="794" spans="1:15" x14ac:dyDescent="0.4">
      <c r="A794" s="1" t="s">
        <v>1874</v>
      </c>
      <c r="B794" s="1" t="s">
        <v>1826</v>
      </c>
      <c r="C794" s="1" t="s">
        <v>1877</v>
      </c>
      <c r="D794" s="1" t="s">
        <v>1612</v>
      </c>
      <c r="E794" s="1" t="s">
        <v>4681</v>
      </c>
      <c r="F794" s="1" t="s">
        <v>14</v>
      </c>
      <c r="G794" s="4" t="str">
        <f>"07017"</f>
        <v>07017</v>
      </c>
      <c r="H794" s="1">
        <v>109</v>
      </c>
      <c r="I794" s="1">
        <v>69.400000000000006</v>
      </c>
      <c r="J794" s="1">
        <v>0</v>
      </c>
      <c r="K794" s="1">
        <v>48</v>
      </c>
      <c r="L794" s="1" t="s">
        <v>18</v>
      </c>
      <c r="M794" s="1" t="s">
        <v>1875</v>
      </c>
      <c r="N794" s="1" t="s">
        <v>12</v>
      </c>
      <c r="O794" s="1" t="s">
        <v>1876</v>
      </c>
    </row>
    <row r="795" spans="1:15" x14ac:dyDescent="0.4">
      <c r="A795" s="1" t="s">
        <v>3427</v>
      </c>
      <c r="B795" s="1" t="s">
        <v>3426</v>
      </c>
      <c r="C795" s="1" t="s">
        <v>3430</v>
      </c>
      <c r="D795" s="1" t="s">
        <v>3342</v>
      </c>
      <c r="E795" s="1" t="s">
        <v>4684</v>
      </c>
      <c r="F795" s="1" t="s">
        <v>14</v>
      </c>
      <c r="G795" s="4" t="str">
        <f>"07719-1199"</f>
        <v>07719-1199</v>
      </c>
      <c r="H795" s="1">
        <v>1</v>
      </c>
      <c r="I795" s="1">
        <v>1.4</v>
      </c>
      <c r="J795" s="1">
        <v>0</v>
      </c>
      <c r="K795" s="1">
        <v>0</v>
      </c>
      <c r="L795" s="1" t="s">
        <v>205</v>
      </c>
      <c r="M795" s="1" t="s">
        <v>3428</v>
      </c>
      <c r="N795" s="1" t="s">
        <v>12</v>
      </c>
      <c r="O795" s="1" t="s">
        <v>3429</v>
      </c>
    </row>
    <row r="796" spans="1:15" x14ac:dyDescent="0.4">
      <c r="A796" s="1" t="s">
        <v>2412</v>
      </c>
      <c r="B796" s="1" t="s">
        <v>2411</v>
      </c>
      <c r="C796" s="1" t="s">
        <v>2414</v>
      </c>
      <c r="D796" s="1" t="s">
        <v>1613</v>
      </c>
      <c r="E796" s="1" t="s">
        <v>2239</v>
      </c>
      <c r="F796" s="1" t="s">
        <v>14</v>
      </c>
      <c r="G796" s="4" t="str">
        <f>"07030"</f>
        <v>07030</v>
      </c>
      <c r="H796" s="1">
        <v>26</v>
      </c>
      <c r="I796" s="1">
        <v>4</v>
      </c>
      <c r="J796" s="1">
        <v>0</v>
      </c>
      <c r="K796" s="1">
        <v>140</v>
      </c>
      <c r="L796" s="1" t="s">
        <v>342</v>
      </c>
      <c r="M796" s="1" t="s">
        <v>1053</v>
      </c>
      <c r="N796" s="1" t="s">
        <v>12</v>
      </c>
      <c r="O796" s="1" t="s">
        <v>2413</v>
      </c>
    </row>
    <row r="797" spans="1:15" x14ac:dyDescent="0.4">
      <c r="A797" s="1" t="s">
        <v>4347</v>
      </c>
      <c r="B797" s="1" t="s">
        <v>4345</v>
      </c>
      <c r="C797" s="1" t="s">
        <v>4350</v>
      </c>
      <c r="D797" s="1" t="s">
        <v>4346</v>
      </c>
      <c r="E797" s="1" t="s">
        <v>4687</v>
      </c>
      <c r="F797" s="1" t="s">
        <v>14</v>
      </c>
      <c r="G797" s="4" t="str">
        <f>"07462-0190"</f>
        <v>07462-0190</v>
      </c>
      <c r="H797" s="1">
        <v>13</v>
      </c>
      <c r="I797" s="1">
        <v>13.7</v>
      </c>
      <c r="J797" s="1">
        <v>0</v>
      </c>
      <c r="K797" s="1">
        <v>0</v>
      </c>
      <c r="L797" s="1" t="s">
        <v>444</v>
      </c>
      <c r="M797" s="1" t="s">
        <v>4348</v>
      </c>
      <c r="N797" s="1" t="s">
        <v>12</v>
      </c>
      <c r="O797" s="1" t="s">
        <v>4349</v>
      </c>
    </row>
    <row r="798" spans="1:15" x14ac:dyDescent="0.4">
      <c r="A798" s="1" t="s">
        <v>1006</v>
      </c>
      <c r="B798" s="1" t="s">
        <v>1004</v>
      </c>
      <c r="C798" s="1" t="s">
        <v>1009</v>
      </c>
      <c r="D798" s="1" t="s">
        <v>1005</v>
      </c>
      <c r="E798" s="1" t="s">
        <v>4677</v>
      </c>
      <c r="F798" s="1" t="s">
        <v>14</v>
      </c>
      <c r="G798" s="4" t="str">
        <f>"08075-4645"</f>
        <v>08075-4645</v>
      </c>
      <c r="H798" s="1">
        <v>12</v>
      </c>
      <c r="I798" s="1">
        <v>10.7</v>
      </c>
      <c r="J798" s="1">
        <v>0</v>
      </c>
      <c r="K798" s="1">
        <v>15</v>
      </c>
      <c r="L798" s="1" t="s">
        <v>1007</v>
      </c>
      <c r="M798" s="1" t="s">
        <v>1007</v>
      </c>
      <c r="N798" s="1" t="s">
        <v>1007</v>
      </c>
      <c r="O798" s="1" t="s">
        <v>1008</v>
      </c>
    </row>
    <row r="799" spans="1:15" x14ac:dyDescent="0.4">
      <c r="A799" s="1" t="s">
        <v>1006</v>
      </c>
      <c r="B799" s="1" t="s">
        <v>2332</v>
      </c>
      <c r="C799" s="1" t="s">
        <v>2339</v>
      </c>
      <c r="D799" s="1" t="s">
        <v>2337</v>
      </c>
      <c r="E799" s="1" t="s">
        <v>4677</v>
      </c>
      <c r="F799" s="1" t="s">
        <v>14</v>
      </c>
      <c r="G799" s="4" t="str">
        <f>"08096"</f>
        <v>08096</v>
      </c>
      <c r="H799" s="1">
        <v>12</v>
      </c>
      <c r="I799" s="1">
        <v>10.7</v>
      </c>
      <c r="J799" s="1">
        <v>0</v>
      </c>
      <c r="K799" s="1">
        <v>15</v>
      </c>
      <c r="L799" s="1" t="s">
        <v>524</v>
      </c>
      <c r="M799" s="1" t="s">
        <v>652</v>
      </c>
      <c r="N799" s="1" t="s">
        <v>12</v>
      </c>
      <c r="O799" s="1" t="s">
        <v>2338</v>
      </c>
    </row>
    <row r="800" spans="1:15" x14ac:dyDescent="0.4">
      <c r="A800" s="1" t="s">
        <v>2380</v>
      </c>
      <c r="B800" s="1" t="s">
        <v>2350</v>
      </c>
      <c r="C800" s="1" t="s">
        <v>2383</v>
      </c>
      <c r="D800" s="1" t="s">
        <v>2351</v>
      </c>
      <c r="E800" s="1" t="s">
        <v>2239</v>
      </c>
      <c r="F800" s="1" t="s">
        <v>14</v>
      </c>
      <c r="G800" s="4" t="str">
        <f>"07002"</f>
        <v>07002</v>
      </c>
      <c r="H800" s="1">
        <v>41</v>
      </c>
      <c r="I800" s="1">
        <v>4.4000000000000004</v>
      </c>
      <c r="J800" s="1">
        <v>0</v>
      </c>
      <c r="K800" s="1">
        <v>80</v>
      </c>
      <c r="L800" s="1" t="s">
        <v>87</v>
      </c>
      <c r="M800" s="1" t="s">
        <v>2381</v>
      </c>
      <c r="N800" s="1" t="s">
        <v>12</v>
      </c>
      <c r="O800" s="1" t="s">
        <v>2382</v>
      </c>
    </row>
    <row r="801" spans="1:15" x14ac:dyDescent="0.4">
      <c r="A801" s="1" t="s">
        <v>892</v>
      </c>
      <c r="B801" s="1" t="s">
        <v>889</v>
      </c>
      <c r="C801" s="1" t="s">
        <v>896</v>
      </c>
      <c r="D801" s="1" t="s">
        <v>890</v>
      </c>
      <c r="E801" s="1" t="s">
        <v>4675</v>
      </c>
      <c r="F801" s="1" t="s">
        <v>14</v>
      </c>
      <c r="G801" s="4" t="str">
        <f>"07670"</f>
        <v>07670</v>
      </c>
      <c r="H801" s="1">
        <v>4</v>
      </c>
      <c r="I801" s="1">
        <v>1.3</v>
      </c>
      <c r="J801" s="1">
        <v>0</v>
      </c>
      <c r="K801" s="1">
        <v>43</v>
      </c>
      <c r="L801" s="1" t="s">
        <v>893</v>
      </c>
      <c r="M801" s="1" t="s">
        <v>894</v>
      </c>
      <c r="N801" s="1" t="s">
        <v>12</v>
      </c>
      <c r="O801" s="1" t="s">
        <v>895</v>
      </c>
    </row>
    <row r="802" spans="1:15" x14ac:dyDescent="0.4">
      <c r="A802" s="1" t="s">
        <v>3406</v>
      </c>
      <c r="B802" s="1" t="s">
        <v>3400</v>
      </c>
      <c r="C802" s="1" t="s">
        <v>3409</v>
      </c>
      <c r="D802" s="1" t="s">
        <v>3410</v>
      </c>
      <c r="E802" s="1" t="s">
        <v>4684</v>
      </c>
      <c r="F802" s="1" t="s">
        <v>14</v>
      </c>
      <c r="G802" s="4" t="str">
        <f>"07712-4103"</f>
        <v>07712-4103</v>
      </c>
      <c r="H802" s="1">
        <v>89</v>
      </c>
      <c r="I802" s="1">
        <v>25</v>
      </c>
      <c r="J802" s="1">
        <v>0</v>
      </c>
      <c r="K802" s="1">
        <v>52</v>
      </c>
      <c r="L802" s="1" t="s">
        <v>368</v>
      </c>
      <c r="M802" s="1" t="s">
        <v>3407</v>
      </c>
      <c r="N802" s="1" t="s">
        <v>12</v>
      </c>
      <c r="O802" s="1" t="s">
        <v>3408</v>
      </c>
    </row>
    <row r="803" spans="1:15" x14ac:dyDescent="0.4">
      <c r="A803" s="1" t="s">
        <v>4019</v>
      </c>
      <c r="B803" s="1" t="s">
        <v>4018</v>
      </c>
      <c r="C803" s="1" t="s">
        <v>4022</v>
      </c>
      <c r="D803" s="1" t="s">
        <v>3907</v>
      </c>
      <c r="E803" s="1" t="s">
        <v>1651</v>
      </c>
      <c r="F803" s="1" t="s">
        <v>14</v>
      </c>
      <c r="G803" s="4" t="str">
        <f>"07465"</f>
        <v>07465</v>
      </c>
      <c r="H803" s="1">
        <v>16</v>
      </c>
      <c r="I803" s="1">
        <v>3.2</v>
      </c>
      <c r="J803" s="1">
        <v>0</v>
      </c>
      <c r="K803" s="1">
        <v>53</v>
      </c>
      <c r="L803" s="1" t="s">
        <v>77</v>
      </c>
      <c r="M803" s="1" t="s">
        <v>4020</v>
      </c>
      <c r="N803" s="1" t="s">
        <v>12</v>
      </c>
      <c r="O803" s="1" t="s">
        <v>4021</v>
      </c>
    </row>
    <row r="804" spans="1:15" x14ac:dyDescent="0.4">
      <c r="A804" s="1" t="s">
        <v>861</v>
      </c>
      <c r="B804" s="1" t="s">
        <v>860</v>
      </c>
      <c r="C804" s="1" t="s">
        <v>864</v>
      </c>
      <c r="D804" s="1" t="s">
        <v>865</v>
      </c>
      <c r="E804" s="1" t="s">
        <v>4675</v>
      </c>
      <c r="F804" s="1" t="s">
        <v>14</v>
      </c>
      <c r="G804" s="4" t="str">
        <f>"07458-3023"</f>
        <v>07458-3023</v>
      </c>
      <c r="H804" s="1">
        <v>11</v>
      </c>
      <c r="I804" s="1">
        <v>9.5</v>
      </c>
      <c r="J804" s="1">
        <v>0</v>
      </c>
      <c r="K804" s="1">
        <v>20</v>
      </c>
      <c r="L804" s="1" t="s">
        <v>503</v>
      </c>
      <c r="M804" s="1" t="s">
        <v>862</v>
      </c>
      <c r="N804" s="1" t="s">
        <v>134</v>
      </c>
      <c r="O804" s="1" t="s">
        <v>863</v>
      </c>
    </row>
    <row r="805" spans="1:15" x14ac:dyDescent="0.4">
      <c r="A805" s="1" t="s">
        <v>4342</v>
      </c>
      <c r="B805" s="1" t="s">
        <v>4335</v>
      </c>
      <c r="C805" s="1" t="s">
        <v>4344</v>
      </c>
      <c r="D805" s="1" t="s">
        <v>4341</v>
      </c>
      <c r="E805" s="1" t="s">
        <v>4687</v>
      </c>
      <c r="F805" s="1" t="s">
        <v>14</v>
      </c>
      <c r="G805" s="4" t="str">
        <f>"07461"</f>
        <v>07461</v>
      </c>
      <c r="H805" s="1">
        <v>17</v>
      </c>
      <c r="I805" s="1">
        <v>4.3</v>
      </c>
      <c r="J805" s="1">
        <v>0</v>
      </c>
      <c r="K805" s="1">
        <v>0</v>
      </c>
      <c r="L805" s="1" t="s">
        <v>335</v>
      </c>
      <c r="M805" s="1" t="s">
        <v>788</v>
      </c>
      <c r="N805" s="1" t="s">
        <v>12</v>
      </c>
      <c r="O805" s="1" t="s">
        <v>4343</v>
      </c>
    </row>
    <row r="806" spans="1:15" x14ac:dyDescent="0.4">
      <c r="A806" s="1" t="s">
        <v>3792</v>
      </c>
      <c r="B806" s="1" t="s">
        <v>3791</v>
      </c>
      <c r="C806" s="1" t="s">
        <v>3795</v>
      </c>
      <c r="D806" s="1" t="s">
        <v>3784</v>
      </c>
      <c r="E806" s="1" t="s">
        <v>4685</v>
      </c>
      <c r="F806" s="1" t="s">
        <v>14</v>
      </c>
      <c r="G806" s="4" t="str">
        <f>"08758-2717"</f>
        <v>08758-2717</v>
      </c>
      <c r="H806" s="1">
        <v>119</v>
      </c>
      <c r="I806" s="1">
        <v>37.5</v>
      </c>
      <c r="J806" s="1">
        <v>0</v>
      </c>
      <c r="K806" s="1">
        <v>65</v>
      </c>
      <c r="L806" s="1" t="s">
        <v>138</v>
      </c>
      <c r="M806" s="1" t="s">
        <v>3793</v>
      </c>
      <c r="N806" s="1" t="s">
        <v>12</v>
      </c>
      <c r="O806" s="1" t="s">
        <v>3794</v>
      </c>
    </row>
    <row r="807" spans="1:15" x14ac:dyDescent="0.4">
      <c r="A807" s="1" t="s">
        <v>3684</v>
      </c>
      <c r="B807" s="1" t="s">
        <v>3678</v>
      </c>
      <c r="C807" s="1" t="s">
        <v>3687</v>
      </c>
      <c r="D807" s="1" t="s">
        <v>3679</v>
      </c>
      <c r="E807" s="1" t="s">
        <v>4685</v>
      </c>
      <c r="F807" s="1" t="s">
        <v>14</v>
      </c>
      <c r="G807" s="4" t="str">
        <f>"08723-9999"</f>
        <v>08723-9999</v>
      </c>
      <c r="H807" s="1">
        <v>359</v>
      </c>
      <c r="I807" s="1">
        <v>100</v>
      </c>
      <c r="J807" s="1">
        <v>0</v>
      </c>
      <c r="K807" s="1">
        <v>0</v>
      </c>
      <c r="L807" s="1" t="s">
        <v>1192</v>
      </c>
      <c r="M807" s="1" t="s">
        <v>3685</v>
      </c>
      <c r="N807" s="1" t="s">
        <v>12</v>
      </c>
      <c r="O807" s="1" t="s">
        <v>3686</v>
      </c>
    </row>
    <row r="808" spans="1:15" x14ac:dyDescent="0.4">
      <c r="A808" s="1" t="s">
        <v>3629</v>
      </c>
      <c r="B808" s="1" t="s">
        <v>3623</v>
      </c>
      <c r="C808" s="1" t="s">
        <v>3632</v>
      </c>
      <c r="D808" s="1" t="s">
        <v>3624</v>
      </c>
      <c r="E808" s="1" t="s">
        <v>1033</v>
      </c>
      <c r="F808" s="1" t="s">
        <v>14</v>
      </c>
      <c r="G808" s="4" t="str">
        <f>"07928"</f>
        <v>07928</v>
      </c>
      <c r="H808" s="1">
        <v>5</v>
      </c>
      <c r="I808" s="1">
        <v>1.7</v>
      </c>
      <c r="J808" s="1">
        <v>0</v>
      </c>
      <c r="K808" s="1">
        <v>66</v>
      </c>
      <c r="L808" s="1" t="s">
        <v>1179</v>
      </c>
      <c r="M808" s="1" t="s">
        <v>3630</v>
      </c>
      <c r="N808" s="1" t="s">
        <v>12</v>
      </c>
      <c r="O808" s="1" t="s">
        <v>3631</v>
      </c>
    </row>
    <row r="809" spans="1:15" x14ac:dyDescent="0.4">
      <c r="A809" s="1" t="s">
        <v>4496</v>
      </c>
      <c r="B809" s="1" t="s">
        <v>4493</v>
      </c>
      <c r="C809" s="1" t="s">
        <v>4499</v>
      </c>
      <c r="D809" s="1" t="s">
        <v>1675</v>
      </c>
      <c r="E809" s="1" t="s">
        <v>4594</v>
      </c>
      <c r="F809" s="1" t="s">
        <v>14</v>
      </c>
      <c r="G809" s="4" t="str">
        <f>"07060-2012"</f>
        <v>07060-2012</v>
      </c>
      <c r="H809" s="1">
        <v>32</v>
      </c>
      <c r="I809" s="1">
        <v>5.7</v>
      </c>
      <c r="J809" s="1">
        <v>0</v>
      </c>
      <c r="K809" s="1">
        <v>84</v>
      </c>
      <c r="L809" s="1" t="s">
        <v>653</v>
      </c>
      <c r="M809" s="1" t="s">
        <v>4497</v>
      </c>
      <c r="N809" s="1" t="s">
        <v>12</v>
      </c>
      <c r="O809" s="1" t="s">
        <v>4498</v>
      </c>
    </row>
    <row r="810" spans="1:15" x14ac:dyDescent="0.4">
      <c r="A810" s="1" t="s">
        <v>2384</v>
      </c>
      <c r="B810" s="1" t="s">
        <v>2350</v>
      </c>
      <c r="C810" s="1" t="s">
        <v>2387</v>
      </c>
      <c r="D810" s="1" t="s">
        <v>2351</v>
      </c>
      <c r="E810" s="1" t="s">
        <v>2239</v>
      </c>
      <c r="F810" s="1" t="s">
        <v>14</v>
      </c>
      <c r="G810" s="4" t="str">
        <f>"07002"</f>
        <v>07002</v>
      </c>
      <c r="H810" s="1">
        <v>58</v>
      </c>
      <c r="I810" s="1">
        <v>8.4</v>
      </c>
      <c r="J810" s="1">
        <v>0</v>
      </c>
      <c r="K810" s="1">
        <v>67</v>
      </c>
      <c r="L810" s="1" t="s">
        <v>598</v>
      </c>
      <c r="M810" s="1" t="s">
        <v>2385</v>
      </c>
      <c r="N810" s="1" t="s">
        <v>12</v>
      </c>
      <c r="O810" s="1" t="s">
        <v>2386</v>
      </c>
    </row>
    <row r="811" spans="1:15" x14ac:dyDescent="0.4">
      <c r="A811" s="1" t="s">
        <v>4585</v>
      </c>
      <c r="B811" s="1" t="s">
        <v>4564</v>
      </c>
      <c r="C811" s="1" t="s">
        <v>4587</v>
      </c>
      <c r="D811" s="1" t="s">
        <v>1599</v>
      </c>
      <c r="E811" s="1" t="s">
        <v>4594</v>
      </c>
      <c r="F811" s="1" t="s">
        <v>14</v>
      </c>
      <c r="G811" s="4" t="str">
        <f>"07083"</f>
        <v>07083</v>
      </c>
      <c r="H811" s="1">
        <v>48</v>
      </c>
      <c r="I811" s="1">
        <v>8.3000000000000007</v>
      </c>
      <c r="J811" s="1">
        <v>0</v>
      </c>
      <c r="K811" s="1">
        <v>117</v>
      </c>
      <c r="L811" s="1" t="s">
        <v>26</v>
      </c>
      <c r="M811" s="1" t="s">
        <v>3611</v>
      </c>
      <c r="N811" s="1" t="s">
        <v>12</v>
      </c>
      <c r="O811" s="1" t="s">
        <v>4586</v>
      </c>
    </row>
    <row r="812" spans="1:15" x14ac:dyDescent="0.4">
      <c r="A812" s="1" t="s">
        <v>328</v>
      </c>
      <c r="B812" s="1" t="s">
        <v>308</v>
      </c>
      <c r="C812" s="1" t="s">
        <v>331</v>
      </c>
      <c r="D812" s="1" t="s">
        <v>309</v>
      </c>
      <c r="E812" s="1" t="s">
        <v>4675</v>
      </c>
      <c r="F812" s="1" t="s">
        <v>14</v>
      </c>
      <c r="G812" s="4" t="str">
        <f>"07621"</f>
        <v>07621</v>
      </c>
      <c r="H812" s="1">
        <v>6</v>
      </c>
      <c r="I812" s="1">
        <v>2.4</v>
      </c>
      <c r="J812" s="1">
        <v>0</v>
      </c>
      <c r="K812" s="1">
        <v>35</v>
      </c>
      <c r="L812" s="1" t="s">
        <v>47</v>
      </c>
      <c r="M812" s="1" t="s">
        <v>329</v>
      </c>
      <c r="N812" s="1" t="s">
        <v>12</v>
      </c>
      <c r="O812" s="1" t="s">
        <v>330</v>
      </c>
    </row>
    <row r="813" spans="1:15" x14ac:dyDescent="0.4">
      <c r="A813" s="1" t="s">
        <v>328</v>
      </c>
      <c r="B813" s="1" t="s">
        <v>597</v>
      </c>
      <c r="C813" s="1" t="s">
        <v>605</v>
      </c>
      <c r="D813" s="1" t="s">
        <v>599</v>
      </c>
      <c r="E813" s="1" t="s">
        <v>4675</v>
      </c>
      <c r="F813" s="1" t="s">
        <v>14</v>
      </c>
      <c r="G813" s="4" t="str">
        <f>"07643-1710"</f>
        <v>07643-1710</v>
      </c>
      <c r="H813" s="1">
        <v>6</v>
      </c>
      <c r="I813" s="1">
        <v>2.4</v>
      </c>
      <c r="J813" s="1">
        <v>0</v>
      </c>
      <c r="K813" s="1">
        <v>35</v>
      </c>
      <c r="L813" s="1" t="s">
        <v>602</v>
      </c>
      <c r="M813" s="1" t="s">
        <v>603</v>
      </c>
      <c r="N813" s="1" t="s">
        <v>12</v>
      </c>
      <c r="O813" s="1" t="s">
        <v>604</v>
      </c>
    </row>
    <row r="814" spans="1:15" x14ac:dyDescent="0.4">
      <c r="A814" s="1" t="s">
        <v>328</v>
      </c>
      <c r="B814" s="1" t="s">
        <v>918</v>
      </c>
      <c r="C814" s="1" t="s">
        <v>923</v>
      </c>
      <c r="D814" s="1" t="s">
        <v>919</v>
      </c>
      <c r="E814" s="1" t="s">
        <v>4675</v>
      </c>
      <c r="F814" s="1" t="s">
        <v>14</v>
      </c>
      <c r="G814" s="4" t="str">
        <f>"07676"</f>
        <v>07676</v>
      </c>
      <c r="H814" s="1">
        <v>6</v>
      </c>
      <c r="I814" s="1">
        <v>2.4</v>
      </c>
      <c r="J814" s="1">
        <v>0</v>
      </c>
      <c r="K814" s="1">
        <v>35</v>
      </c>
      <c r="L814" s="1" t="s">
        <v>199</v>
      </c>
      <c r="M814" s="1" t="s">
        <v>921</v>
      </c>
      <c r="N814" s="1" t="s">
        <v>12</v>
      </c>
      <c r="O814" s="1" t="s">
        <v>922</v>
      </c>
    </row>
    <row r="815" spans="1:15" x14ac:dyDescent="0.4">
      <c r="A815" s="1" t="s">
        <v>328</v>
      </c>
      <c r="B815" s="1" t="s">
        <v>1802</v>
      </c>
      <c r="C815" s="1" t="s">
        <v>1816</v>
      </c>
      <c r="D815" s="1" t="s">
        <v>1810</v>
      </c>
      <c r="E815" s="1" t="s">
        <v>4675</v>
      </c>
      <c r="F815" s="1" t="s">
        <v>14</v>
      </c>
      <c r="G815" s="4" t="str">
        <f>"07006"</f>
        <v>07006</v>
      </c>
      <c r="H815" s="1">
        <v>6</v>
      </c>
      <c r="I815" s="1">
        <v>2.4</v>
      </c>
      <c r="J815" s="1">
        <v>0</v>
      </c>
      <c r="K815" s="1">
        <v>35</v>
      </c>
      <c r="L815" s="1" t="s">
        <v>47</v>
      </c>
      <c r="M815" s="1" t="s">
        <v>1814</v>
      </c>
      <c r="N815" s="1" t="s">
        <v>12</v>
      </c>
      <c r="O815" s="1" t="s">
        <v>1815</v>
      </c>
    </row>
    <row r="816" spans="1:15" x14ac:dyDescent="0.4">
      <c r="A816" s="1" t="s">
        <v>328</v>
      </c>
      <c r="B816" s="1" t="s">
        <v>2175</v>
      </c>
      <c r="C816" s="1" t="s">
        <v>2185</v>
      </c>
      <c r="D816" s="1" t="s">
        <v>2181</v>
      </c>
      <c r="E816" s="1" t="s">
        <v>4675</v>
      </c>
      <c r="F816" s="1" t="s">
        <v>14</v>
      </c>
      <c r="G816" s="4" t="str">
        <f>"07052-5615"</f>
        <v>07052-5615</v>
      </c>
      <c r="H816" s="1">
        <v>6</v>
      </c>
      <c r="I816" s="1">
        <v>2.4</v>
      </c>
      <c r="J816" s="1">
        <v>0</v>
      </c>
      <c r="K816" s="1">
        <v>35</v>
      </c>
      <c r="L816" s="1" t="s">
        <v>306</v>
      </c>
      <c r="M816" s="1" t="s">
        <v>2183</v>
      </c>
      <c r="N816" s="1" t="s">
        <v>12</v>
      </c>
      <c r="O816" s="1" t="s">
        <v>2184</v>
      </c>
    </row>
    <row r="817" spans="1:15" x14ac:dyDescent="0.4">
      <c r="A817" s="1" t="s">
        <v>328</v>
      </c>
      <c r="B817" s="1" t="s">
        <v>1622</v>
      </c>
      <c r="C817" s="1" t="s">
        <v>2535</v>
      </c>
      <c r="D817" s="1" t="s">
        <v>2519</v>
      </c>
      <c r="E817" s="1" t="s">
        <v>4675</v>
      </c>
      <c r="F817" s="1" t="s">
        <v>14</v>
      </c>
      <c r="G817" s="4" t="str">
        <f>"07032-1504"</f>
        <v>07032-1504</v>
      </c>
      <c r="H817" s="1">
        <v>6</v>
      </c>
      <c r="I817" s="1">
        <v>2.4</v>
      </c>
      <c r="J817" s="1">
        <v>0</v>
      </c>
      <c r="K817" s="1">
        <v>35</v>
      </c>
      <c r="L817" s="1" t="s">
        <v>368</v>
      </c>
      <c r="M817" s="1" t="s">
        <v>2533</v>
      </c>
      <c r="N817" s="1" t="s">
        <v>12</v>
      </c>
      <c r="O817" s="1" t="s">
        <v>2534</v>
      </c>
    </row>
    <row r="818" spans="1:15" x14ac:dyDescent="0.4">
      <c r="A818" s="1" t="s">
        <v>328</v>
      </c>
      <c r="B818" s="1" t="s">
        <v>2902</v>
      </c>
      <c r="C818" s="1" t="s">
        <v>2922</v>
      </c>
      <c r="D818" s="1" t="s">
        <v>2906</v>
      </c>
      <c r="E818" s="1" t="s">
        <v>4675</v>
      </c>
      <c r="F818" s="1" t="s">
        <v>14</v>
      </c>
      <c r="G818" s="4" t="str">
        <f>"08817"</f>
        <v>08817</v>
      </c>
      <c r="H818" s="1">
        <v>6</v>
      </c>
      <c r="I818" s="1">
        <v>2.4</v>
      </c>
      <c r="J818" s="1">
        <v>0</v>
      </c>
      <c r="K818" s="1">
        <v>35</v>
      </c>
      <c r="L818" s="1" t="s">
        <v>277</v>
      </c>
      <c r="M818" s="1" t="s">
        <v>2920</v>
      </c>
      <c r="N818" s="1" t="s">
        <v>12</v>
      </c>
      <c r="O818" s="1" t="s">
        <v>2921</v>
      </c>
    </row>
    <row r="819" spans="1:15" x14ac:dyDescent="0.4">
      <c r="A819" s="1" t="s">
        <v>328</v>
      </c>
      <c r="B819" s="1" t="s">
        <v>3899</v>
      </c>
      <c r="C819" s="1" t="s">
        <v>3906</v>
      </c>
      <c r="D819" s="1" t="s">
        <v>3900</v>
      </c>
      <c r="E819" s="1" t="s">
        <v>4675</v>
      </c>
      <c r="F819" s="1" t="s">
        <v>14</v>
      </c>
      <c r="G819" s="4" t="str">
        <f>"07506"</f>
        <v>07506</v>
      </c>
      <c r="H819" s="1">
        <v>6</v>
      </c>
      <c r="I819" s="1">
        <v>2.4</v>
      </c>
      <c r="J819" s="1">
        <v>0</v>
      </c>
      <c r="K819" s="1">
        <v>35</v>
      </c>
      <c r="L819" s="1" t="s">
        <v>1034</v>
      </c>
      <c r="M819" s="1" t="s">
        <v>3904</v>
      </c>
      <c r="N819" s="1" t="s">
        <v>12</v>
      </c>
      <c r="O819" s="1" t="s">
        <v>3905</v>
      </c>
    </row>
    <row r="820" spans="1:15" x14ac:dyDescent="0.4">
      <c r="A820" s="1" t="s">
        <v>328</v>
      </c>
      <c r="B820" s="1" t="s">
        <v>4529</v>
      </c>
      <c r="C820" s="1" t="s">
        <v>4536</v>
      </c>
      <c r="D820" s="1" t="s">
        <v>4530</v>
      </c>
      <c r="E820" s="1" t="s">
        <v>4675</v>
      </c>
      <c r="F820" s="1" t="s">
        <v>14</v>
      </c>
      <c r="G820" s="4" t="str">
        <f>"07203-2329"</f>
        <v>07203-2329</v>
      </c>
      <c r="H820" s="1">
        <v>6</v>
      </c>
      <c r="I820" s="1">
        <v>2.4</v>
      </c>
      <c r="J820" s="1">
        <v>0</v>
      </c>
      <c r="K820" s="1">
        <v>35</v>
      </c>
      <c r="L820" s="1" t="s">
        <v>566</v>
      </c>
      <c r="M820" s="1" t="s">
        <v>4534</v>
      </c>
      <c r="N820" s="1" t="s">
        <v>12</v>
      </c>
      <c r="O820" s="1" t="s">
        <v>4535</v>
      </c>
    </row>
    <row r="821" spans="1:15" x14ac:dyDescent="0.4">
      <c r="A821" s="1" t="s">
        <v>328</v>
      </c>
      <c r="B821" s="1" t="s">
        <v>4550</v>
      </c>
      <c r="C821" s="1" t="s">
        <v>4563</v>
      </c>
      <c r="D821" s="1" t="s">
        <v>4551</v>
      </c>
      <c r="E821" s="1" t="s">
        <v>4675</v>
      </c>
      <c r="F821" s="1" t="s">
        <v>14</v>
      </c>
      <c r="G821" s="4" t="str">
        <f>"07901-1544"</f>
        <v>07901-1544</v>
      </c>
      <c r="H821" s="1">
        <v>6</v>
      </c>
      <c r="I821" s="1">
        <v>2.4</v>
      </c>
      <c r="J821" s="1">
        <v>0</v>
      </c>
      <c r="K821" s="1">
        <v>35</v>
      </c>
      <c r="L821" s="1" t="s">
        <v>462</v>
      </c>
      <c r="M821" s="1" t="s">
        <v>4561</v>
      </c>
      <c r="N821" s="1" t="s">
        <v>12</v>
      </c>
      <c r="O821" s="1" t="s">
        <v>4562</v>
      </c>
    </row>
    <row r="822" spans="1:15" x14ac:dyDescent="0.4">
      <c r="A822" s="1" t="s">
        <v>328</v>
      </c>
      <c r="B822" s="1" t="s">
        <v>4595</v>
      </c>
      <c r="C822" s="1" t="s">
        <v>4605</v>
      </c>
      <c r="D822" s="1" t="s">
        <v>4593</v>
      </c>
      <c r="E822" s="1" t="s">
        <v>4675</v>
      </c>
      <c r="F822" s="1" t="s">
        <v>14</v>
      </c>
      <c r="G822" s="4" t="str">
        <f>"07090-2039"</f>
        <v>07090-2039</v>
      </c>
      <c r="H822" s="1">
        <v>6</v>
      </c>
      <c r="I822" s="1">
        <v>2.4</v>
      </c>
      <c r="J822" s="1">
        <v>0</v>
      </c>
      <c r="K822" s="1">
        <v>35</v>
      </c>
      <c r="L822" s="1" t="s">
        <v>666</v>
      </c>
      <c r="M822" s="1" t="s">
        <v>2444</v>
      </c>
      <c r="N822" s="1" t="s">
        <v>12</v>
      </c>
      <c r="O822" s="1" t="s">
        <v>4604</v>
      </c>
    </row>
    <row r="823" spans="1:15" x14ac:dyDescent="0.4">
      <c r="A823" s="1" t="s">
        <v>523</v>
      </c>
      <c r="B823" s="1" t="s">
        <v>488</v>
      </c>
      <c r="C823" s="1" t="s">
        <v>527</v>
      </c>
      <c r="D823" s="1" t="s">
        <v>494</v>
      </c>
      <c r="E823" s="1" t="s">
        <v>4675</v>
      </c>
      <c r="F823" s="1" t="s">
        <v>14</v>
      </c>
      <c r="G823" s="4" t="str">
        <f>"07026"</f>
        <v>07026</v>
      </c>
      <c r="H823" s="1">
        <v>30</v>
      </c>
      <c r="I823" s="1">
        <v>6.8</v>
      </c>
      <c r="J823" s="1">
        <v>0</v>
      </c>
      <c r="K823" s="1">
        <v>79</v>
      </c>
      <c r="L823" s="1" t="s">
        <v>524</v>
      </c>
      <c r="M823" s="1" t="s">
        <v>525</v>
      </c>
      <c r="N823" s="1" t="s">
        <v>12</v>
      </c>
      <c r="O823" s="1" t="s">
        <v>526</v>
      </c>
    </row>
    <row r="824" spans="1:15" x14ac:dyDescent="0.4">
      <c r="A824" s="1" t="s">
        <v>621</v>
      </c>
      <c r="B824" s="1" t="s">
        <v>606</v>
      </c>
      <c r="C824" s="1" t="s">
        <v>624</v>
      </c>
      <c r="D824" s="1" t="s">
        <v>611</v>
      </c>
      <c r="E824" s="1" t="s">
        <v>4675</v>
      </c>
      <c r="F824" s="1" t="s">
        <v>14</v>
      </c>
      <c r="G824" s="4" t="str">
        <f>"07644"</f>
        <v>07644</v>
      </c>
      <c r="H824" s="1">
        <v>42</v>
      </c>
      <c r="I824" s="1">
        <v>11.7</v>
      </c>
      <c r="J824" s="1">
        <v>0</v>
      </c>
      <c r="K824" s="1">
        <v>49</v>
      </c>
      <c r="L824" s="1" t="s">
        <v>10</v>
      </c>
      <c r="M824" s="1" t="s">
        <v>622</v>
      </c>
      <c r="N824" s="1" t="s">
        <v>12</v>
      </c>
      <c r="O824" s="1" t="s">
        <v>623</v>
      </c>
    </row>
    <row r="825" spans="1:15" x14ac:dyDescent="0.4">
      <c r="A825" s="1" t="s">
        <v>621</v>
      </c>
      <c r="B825" s="1" t="s">
        <v>629</v>
      </c>
      <c r="C825" s="1" t="s">
        <v>645</v>
      </c>
      <c r="D825" s="1" t="s">
        <v>633</v>
      </c>
      <c r="E825" s="1" t="s">
        <v>4675</v>
      </c>
      <c r="F825" s="1" t="s">
        <v>14</v>
      </c>
      <c r="G825" s="4" t="str">
        <f>"07071-3215"</f>
        <v>07071-3215</v>
      </c>
      <c r="H825" s="1">
        <v>42</v>
      </c>
      <c r="I825" s="1">
        <v>11.7</v>
      </c>
      <c r="J825" s="1">
        <v>0</v>
      </c>
      <c r="K825" s="1">
        <v>49</v>
      </c>
      <c r="L825" s="1" t="s">
        <v>642</v>
      </c>
      <c r="M825" s="1" t="s">
        <v>643</v>
      </c>
      <c r="N825" s="1" t="s">
        <v>12</v>
      </c>
      <c r="O825" s="1" t="s">
        <v>644</v>
      </c>
    </row>
    <row r="826" spans="1:15" x14ac:dyDescent="0.4">
      <c r="A826" s="1" t="s">
        <v>621</v>
      </c>
      <c r="B826" s="1" t="s">
        <v>845</v>
      </c>
      <c r="C826" s="1" t="s">
        <v>850</v>
      </c>
      <c r="D826" s="1" t="s">
        <v>846</v>
      </c>
      <c r="E826" s="1" t="s">
        <v>4675</v>
      </c>
      <c r="F826" s="1" t="s">
        <v>14</v>
      </c>
      <c r="G826" s="4" t="str">
        <f>"07070-1571"</f>
        <v>07070-1571</v>
      </c>
      <c r="H826" s="1">
        <v>42</v>
      </c>
      <c r="I826" s="1">
        <v>11.7</v>
      </c>
      <c r="J826" s="1">
        <v>0</v>
      </c>
      <c r="K826" s="1">
        <v>49</v>
      </c>
      <c r="L826" s="1" t="s">
        <v>15</v>
      </c>
      <c r="M826" s="1" t="s">
        <v>848</v>
      </c>
      <c r="N826" s="1" t="s">
        <v>12</v>
      </c>
      <c r="O826" s="1" t="s">
        <v>849</v>
      </c>
    </row>
    <row r="827" spans="1:15" x14ac:dyDescent="0.4">
      <c r="A827" s="1" t="s">
        <v>621</v>
      </c>
      <c r="B827" s="1" t="s">
        <v>851</v>
      </c>
      <c r="C827" s="1" t="s">
        <v>857</v>
      </c>
      <c r="D827" s="1" t="s">
        <v>858</v>
      </c>
      <c r="E827" s="1" t="s">
        <v>4675</v>
      </c>
      <c r="F827" s="1" t="s">
        <v>14</v>
      </c>
      <c r="G827" s="4" t="str">
        <f>"07663"</f>
        <v>07663</v>
      </c>
      <c r="H827" s="1">
        <v>42</v>
      </c>
      <c r="I827" s="1">
        <v>11.7</v>
      </c>
      <c r="J827" s="1">
        <v>0</v>
      </c>
      <c r="K827" s="1">
        <v>49</v>
      </c>
      <c r="L827" s="1" t="s">
        <v>854</v>
      </c>
      <c r="M827" s="1" t="s">
        <v>855</v>
      </c>
      <c r="N827" s="1" t="s">
        <v>105</v>
      </c>
      <c r="O827" s="1" t="s">
        <v>856</v>
      </c>
    </row>
    <row r="828" spans="1:15" x14ac:dyDescent="0.4">
      <c r="A828" s="1" t="s">
        <v>621</v>
      </c>
      <c r="B828" s="1" t="s">
        <v>1934</v>
      </c>
      <c r="C828" s="1" t="s">
        <v>1942</v>
      </c>
      <c r="D828" s="1" t="s">
        <v>1943</v>
      </c>
      <c r="E828" s="1" t="s">
        <v>4675</v>
      </c>
      <c r="F828" s="1" t="s">
        <v>14</v>
      </c>
      <c r="G828" s="4" t="str">
        <f>"07041"</f>
        <v>07041</v>
      </c>
      <c r="H828" s="1">
        <v>42</v>
      </c>
      <c r="I828" s="1">
        <v>11.7</v>
      </c>
      <c r="J828" s="1">
        <v>0</v>
      </c>
      <c r="K828" s="1">
        <v>49</v>
      </c>
      <c r="L828" s="1" t="s">
        <v>399</v>
      </c>
      <c r="M828" s="1" t="s">
        <v>1940</v>
      </c>
      <c r="N828" s="1" t="s">
        <v>12</v>
      </c>
      <c r="O828" s="1" t="s">
        <v>1941</v>
      </c>
    </row>
    <row r="829" spans="1:15" x14ac:dyDescent="0.4">
      <c r="A829" s="1" t="s">
        <v>621</v>
      </c>
      <c r="B829" s="1" t="s">
        <v>2127</v>
      </c>
      <c r="C829" s="1" t="s">
        <v>2134</v>
      </c>
      <c r="D829" s="1" t="s">
        <v>2128</v>
      </c>
      <c r="E829" s="1" t="s">
        <v>4675</v>
      </c>
      <c r="F829" s="1" t="s">
        <v>14</v>
      </c>
      <c r="G829" s="4" t="str">
        <f>"07110-3501"</f>
        <v>07110-3501</v>
      </c>
      <c r="H829" s="1">
        <v>42</v>
      </c>
      <c r="I829" s="1">
        <v>11.7</v>
      </c>
      <c r="J829" s="1">
        <v>0</v>
      </c>
      <c r="K829" s="1">
        <v>49</v>
      </c>
      <c r="L829" s="1" t="s">
        <v>1232</v>
      </c>
      <c r="M829" s="1" t="s">
        <v>206</v>
      </c>
      <c r="N829" s="1" t="s">
        <v>12</v>
      </c>
      <c r="O829" s="1" t="s">
        <v>2133</v>
      </c>
    </row>
    <row r="830" spans="1:15" x14ac:dyDescent="0.4">
      <c r="A830" s="1" t="s">
        <v>621</v>
      </c>
      <c r="B830" s="1" t="s">
        <v>4440</v>
      </c>
      <c r="C830" s="1" t="s">
        <v>4442</v>
      </c>
      <c r="D830" s="1" t="s">
        <v>4443</v>
      </c>
      <c r="E830" s="1" t="s">
        <v>4675</v>
      </c>
      <c r="F830" s="1" t="s">
        <v>14</v>
      </c>
      <c r="G830" s="4" t="str">
        <f>"07027"</f>
        <v>07027</v>
      </c>
      <c r="H830" s="1">
        <v>42</v>
      </c>
      <c r="I830" s="1">
        <v>11.7</v>
      </c>
      <c r="J830" s="1">
        <v>0</v>
      </c>
      <c r="K830" s="1">
        <v>49</v>
      </c>
      <c r="L830" s="1" t="s">
        <v>335</v>
      </c>
      <c r="M830" s="1" t="s">
        <v>4136</v>
      </c>
      <c r="N830" s="1" t="s">
        <v>134</v>
      </c>
      <c r="O830" s="1" t="s">
        <v>4441</v>
      </c>
    </row>
    <row r="831" spans="1:15" x14ac:dyDescent="0.4">
      <c r="A831" s="1" t="s">
        <v>3411</v>
      </c>
      <c r="B831" s="1" t="s">
        <v>3400</v>
      </c>
      <c r="C831" s="1" t="s">
        <v>3414</v>
      </c>
      <c r="D831" s="1" t="s">
        <v>1649</v>
      </c>
      <c r="E831" s="1" t="s">
        <v>4684</v>
      </c>
      <c r="F831" s="1" t="s">
        <v>14</v>
      </c>
      <c r="G831" s="4" t="str">
        <f>"07712-2599"</f>
        <v>07712-2599</v>
      </c>
      <c r="H831" s="1">
        <v>131</v>
      </c>
      <c r="I831" s="1">
        <v>22.5</v>
      </c>
      <c r="J831" s="1">
        <v>0</v>
      </c>
      <c r="K831" s="1">
        <v>87</v>
      </c>
      <c r="L831" s="1" t="s">
        <v>833</v>
      </c>
      <c r="M831" s="1" t="s">
        <v>3412</v>
      </c>
      <c r="N831" s="1" t="s">
        <v>12</v>
      </c>
      <c r="O831" s="1" t="s">
        <v>3413</v>
      </c>
    </row>
    <row r="832" spans="1:15" x14ac:dyDescent="0.4">
      <c r="A832" s="1" t="s">
        <v>798</v>
      </c>
      <c r="B832" s="1" t="s">
        <v>791</v>
      </c>
      <c r="C832" s="1" t="s">
        <v>801</v>
      </c>
      <c r="D832" s="1" t="s">
        <v>792</v>
      </c>
      <c r="E832" s="1" t="s">
        <v>4675</v>
      </c>
      <c r="F832" s="1" t="s">
        <v>14</v>
      </c>
      <c r="G832" s="4" t="str">
        <f>"07446-1566"</f>
        <v>07446-1566</v>
      </c>
      <c r="H832" s="1">
        <v>16</v>
      </c>
      <c r="I832" s="1">
        <v>5.3</v>
      </c>
      <c r="J832" s="1">
        <v>0</v>
      </c>
      <c r="K832" s="1">
        <v>74</v>
      </c>
      <c r="L832" s="1" t="s">
        <v>110</v>
      </c>
      <c r="M832" s="1" t="s">
        <v>799</v>
      </c>
      <c r="N832" s="1" t="s">
        <v>12</v>
      </c>
      <c r="O832" s="1" t="s">
        <v>800</v>
      </c>
    </row>
    <row r="833" spans="1:15" x14ac:dyDescent="0.4">
      <c r="A833" s="1" t="s">
        <v>2733</v>
      </c>
      <c r="B833" s="1" t="s">
        <v>2726</v>
      </c>
      <c r="C833" s="1" t="s">
        <v>2735</v>
      </c>
      <c r="D833" s="1" t="s">
        <v>2731</v>
      </c>
      <c r="E833" s="1" t="s">
        <v>4682</v>
      </c>
      <c r="F833" s="1" t="s">
        <v>14</v>
      </c>
      <c r="G833" s="4" t="str">
        <f>"08530"</f>
        <v>08530</v>
      </c>
      <c r="H833" s="1">
        <v>32</v>
      </c>
      <c r="I833" s="1">
        <v>22.7</v>
      </c>
      <c r="J833" s="1">
        <v>0</v>
      </c>
      <c r="K833" s="1">
        <v>0</v>
      </c>
      <c r="L833" s="1" t="s">
        <v>40</v>
      </c>
      <c r="M833" s="1" t="s">
        <v>2734</v>
      </c>
      <c r="N833" s="1" t="s">
        <v>12</v>
      </c>
      <c r="O833" s="1" t="s">
        <v>2732</v>
      </c>
    </row>
    <row r="834" spans="1:15" x14ac:dyDescent="0.4">
      <c r="A834" s="1" t="s">
        <v>2340</v>
      </c>
      <c r="B834" s="1" t="s">
        <v>2332</v>
      </c>
      <c r="C834" s="1" t="s">
        <v>2343</v>
      </c>
      <c r="D834" s="1" t="s">
        <v>2337</v>
      </c>
      <c r="E834" s="1" t="s">
        <v>4677</v>
      </c>
      <c r="F834" s="1" t="s">
        <v>14</v>
      </c>
      <c r="G834" s="4" t="str">
        <f>"08096"</f>
        <v>08096</v>
      </c>
      <c r="H834" s="1">
        <v>101</v>
      </c>
      <c r="I834" s="1">
        <v>21.5</v>
      </c>
      <c r="J834" s="1">
        <v>0</v>
      </c>
      <c r="K834" s="1">
        <v>63</v>
      </c>
      <c r="L834" s="1" t="s">
        <v>77</v>
      </c>
      <c r="M834" s="1" t="s">
        <v>2341</v>
      </c>
      <c r="N834" s="1" t="s">
        <v>12</v>
      </c>
      <c r="O834" s="1" t="s">
        <v>2342</v>
      </c>
    </row>
    <row r="835" spans="1:15" x14ac:dyDescent="0.4">
      <c r="A835" s="1" t="s">
        <v>4210</v>
      </c>
      <c r="B835" s="1" t="s">
        <v>4205</v>
      </c>
      <c r="C835" s="1" t="s">
        <v>4212</v>
      </c>
      <c r="D835" s="1" t="s">
        <v>4209</v>
      </c>
      <c r="E835" s="1" t="s">
        <v>1597</v>
      </c>
      <c r="F835" s="1" t="s">
        <v>14</v>
      </c>
      <c r="G835" s="4" t="str">
        <f>"07060-1738"</f>
        <v>07060-1738</v>
      </c>
      <c r="H835" s="1">
        <v>12</v>
      </c>
      <c r="I835" s="1">
        <v>2</v>
      </c>
      <c r="J835" s="1">
        <v>0</v>
      </c>
      <c r="K835" s="1">
        <v>132</v>
      </c>
      <c r="L835" s="1" t="s">
        <v>1600</v>
      </c>
      <c r="M835" s="1" t="s">
        <v>1168</v>
      </c>
      <c r="N835" s="1" t="s">
        <v>12</v>
      </c>
      <c r="O835" s="1" t="s">
        <v>4211</v>
      </c>
    </row>
    <row r="836" spans="1:15" x14ac:dyDescent="0.4">
      <c r="A836" s="1" t="s">
        <v>3213</v>
      </c>
      <c r="B836" s="1" t="s">
        <v>3207</v>
      </c>
      <c r="C836" s="1" t="s">
        <v>3216</v>
      </c>
      <c r="D836" s="1" t="s">
        <v>3199</v>
      </c>
      <c r="E836" s="1" t="s">
        <v>4684</v>
      </c>
      <c r="F836" s="1" t="s">
        <v>14</v>
      </c>
      <c r="G836" s="4" t="str">
        <f>"07728-2551"</f>
        <v>07728-2551</v>
      </c>
      <c r="H836" s="1">
        <v>40</v>
      </c>
      <c r="I836" s="1">
        <v>8.9</v>
      </c>
      <c r="J836" s="1">
        <v>0</v>
      </c>
      <c r="K836" s="1">
        <v>65</v>
      </c>
      <c r="L836" s="1" t="s">
        <v>1154</v>
      </c>
      <c r="M836" s="1" t="s">
        <v>3214</v>
      </c>
      <c r="N836" s="1" t="s">
        <v>12</v>
      </c>
      <c r="O836" s="1" t="s">
        <v>3215</v>
      </c>
    </row>
    <row r="837" spans="1:15" x14ac:dyDescent="0.4">
      <c r="A837" s="1" t="s">
        <v>2186</v>
      </c>
      <c r="B837" s="1" t="s">
        <v>2175</v>
      </c>
      <c r="C837" s="1" t="s">
        <v>2190</v>
      </c>
      <c r="D837" s="1" t="s">
        <v>2180</v>
      </c>
      <c r="E837" s="1" t="s">
        <v>4681</v>
      </c>
      <c r="F837" s="1" t="s">
        <v>14</v>
      </c>
      <c r="G837" s="4" t="str">
        <f>"07052"</f>
        <v>07052</v>
      </c>
      <c r="H837" s="1">
        <v>54</v>
      </c>
      <c r="I837" s="1">
        <v>100</v>
      </c>
      <c r="J837" s="1">
        <v>0</v>
      </c>
      <c r="K837" s="1">
        <v>0</v>
      </c>
      <c r="L837" s="1" t="s">
        <v>2187</v>
      </c>
      <c r="M837" s="1" t="s">
        <v>2188</v>
      </c>
      <c r="N837" s="1" t="s">
        <v>1294</v>
      </c>
      <c r="O837" s="1" t="s">
        <v>2189</v>
      </c>
    </row>
    <row r="838" spans="1:15" x14ac:dyDescent="0.4">
      <c r="A838" s="1" t="s">
        <v>782</v>
      </c>
      <c r="B838" s="1" t="s">
        <v>780</v>
      </c>
      <c r="C838" s="1" t="s">
        <v>785</v>
      </c>
      <c r="D838" s="1" t="s">
        <v>781</v>
      </c>
      <c r="E838" s="1" t="s">
        <v>4675</v>
      </c>
      <c r="F838" s="1" t="s">
        <v>14</v>
      </c>
      <c r="G838" s="4" t="str">
        <f>"07656"</f>
        <v>07656</v>
      </c>
      <c r="H838" s="1">
        <v>2</v>
      </c>
      <c r="I838" s="1">
        <v>0.6</v>
      </c>
      <c r="J838" s="1">
        <v>0</v>
      </c>
      <c r="K838" s="1">
        <v>35</v>
      </c>
      <c r="L838" s="1" t="s">
        <v>335</v>
      </c>
      <c r="M838" s="1" t="s">
        <v>783</v>
      </c>
      <c r="N838" s="1" t="s">
        <v>12</v>
      </c>
      <c r="O838" s="1" t="s">
        <v>784</v>
      </c>
    </row>
    <row r="839" spans="1:15" x14ac:dyDescent="0.4">
      <c r="A839" s="1" t="s">
        <v>977</v>
      </c>
      <c r="B839" s="1" t="s">
        <v>976</v>
      </c>
      <c r="C839" s="1" t="s">
        <v>980</v>
      </c>
      <c r="D839" s="1" t="s">
        <v>981</v>
      </c>
      <c r="E839" s="1" t="s">
        <v>4676</v>
      </c>
      <c r="F839" s="1" t="s">
        <v>14</v>
      </c>
      <c r="G839" s="4" t="str">
        <f>"08060-3824"</f>
        <v>08060-3824</v>
      </c>
      <c r="H839" s="1">
        <v>14</v>
      </c>
      <c r="I839" s="1">
        <v>3.2</v>
      </c>
      <c r="J839" s="1">
        <v>0</v>
      </c>
      <c r="K839" s="1">
        <v>17</v>
      </c>
      <c r="L839" s="1" t="s">
        <v>302</v>
      </c>
      <c r="M839" s="1" t="s">
        <v>978</v>
      </c>
      <c r="N839" s="1" t="s">
        <v>12</v>
      </c>
      <c r="O839" s="1" t="s">
        <v>979</v>
      </c>
    </row>
    <row r="840" spans="1:15" x14ac:dyDescent="0.4">
      <c r="A840" s="1" t="s">
        <v>445</v>
      </c>
      <c r="B840" s="1" t="s">
        <v>438</v>
      </c>
      <c r="C840" s="1" t="s">
        <v>448</v>
      </c>
      <c r="D840" s="1" t="s">
        <v>440</v>
      </c>
      <c r="E840" s="1" t="s">
        <v>4675</v>
      </c>
      <c r="F840" s="1" t="s">
        <v>14</v>
      </c>
      <c r="G840" s="4" t="str">
        <f>"07410"</f>
        <v>07410</v>
      </c>
      <c r="H840" s="1">
        <v>23</v>
      </c>
      <c r="I840" s="1">
        <v>6.4</v>
      </c>
      <c r="J840" s="1">
        <v>0</v>
      </c>
      <c r="K840" s="1">
        <v>45</v>
      </c>
      <c r="L840" s="1" t="s">
        <v>366</v>
      </c>
      <c r="M840" s="1" t="s">
        <v>446</v>
      </c>
      <c r="N840" s="1" t="s">
        <v>12</v>
      </c>
      <c r="O840" s="1" t="s">
        <v>447</v>
      </c>
    </row>
    <row r="841" spans="1:15" x14ac:dyDescent="0.4">
      <c r="A841" s="1" t="s">
        <v>4195</v>
      </c>
      <c r="B841" s="1" t="s">
        <v>4190</v>
      </c>
      <c r="C841" s="1" t="s">
        <v>4198</v>
      </c>
      <c r="D841" s="1" t="s">
        <v>4191</v>
      </c>
      <c r="E841" s="1" t="s">
        <v>1597</v>
      </c>
      <c r="F841" s="1" t="s">
        <v>14</v>
      </c>
      <c r="G841" s="4" t="str">
        <f>"08835"</f>
        <v>08835</v>
      </c>
      <c r="H841" s="1">
        <v>46</v>
      </c>
      <c r="I841" s="1">
        <v>11.4</v>
      </c>
      <c r="J841" s="1">
        <v>0</v>
      </c>
      <c r="K841" s="1">
        <v>91</v>
      </c>
      <c r="L841" s="1" t="s">
        <v>3964</v>
      </c>
      <c r="M841" s="1" t="s">
        <v>4196</v>
      </c>
      <c r="N841" s="1" t="s">
        <v>12</v>
      </c>
      <c r="O841" s="1" t="s">
        <v>4197</v>
      </c>
    </row>
    <row r="842" spans="1:15" x14ac:dyDescent="0.4">
      <c r="A842" s="1" t="s">
        <v>924</v>
      </c>
      <c r="B842" s="1" t="s">
        <v>918</v>
      </c>
      <c r="C842" s="1" t="s">
        <v>926</v>
      </c>
      <c r="D842" s="1" t="s">
        <v>919</v>
      </c>
      <c r="E842" s="1" t="s">
        <v>4675</v>
      </c>
      <c r="F842" s="1" t="s">
        <v>14</v>
      </c>
      <c r="G842" s="4" t="str">
        <f>"07676"</f>
        <v>07676</v>
      </c>
      <c r="H842" s="1">
        <v>31</v>
      </c>
      <c r="I842" s="1">
        <v>3.7</v>
      </c>
      <c r="J842" s="1">
        <v>0</v>
      </c>
      <c r="K842" s="1">
        <v>2</v>
      </c>
      <c r="L842" s="1" t="s">
        <v>124</v>
      </c>
      <c r="M842" s="1" t="s">
        <v>387</v>
      </c>
      <c r="N842" s="1" t="s">
        <v>12</v>
      </c>
      <c r="O842" s="1" t="s">
        <v>925</v>
      </c>
    </row>
    <row r="843" spans="1:15" x14ac:dyDescent="0.4">
      <c r="A843" s="1" t="s">
        <v>267</v>
      </c>
      <c r="B843" s="1" t="s">
        <v>266</v>
      </c>
      <c r="C843" s="1" t="s">
        <v>270</v>
      </c>
      <c r="D843" s="1" t="s">
        <v>271</v>
      </c>
      <c r="E843" s="1" t="s">
        <v>4674</v>
      </c>
      <c r="F843" s="1" t="s">
        <v>14</v>
      </c>
      <c r="G843" s="4" t="str">
        <f>"08317-9711"</f>
        <v>08317-9711</v>
      </c>
      <c r="H843" s="1">
        <v>30</v>
      </c>
      <c r="I843" s="1">
        <v>16.899999999999999</v>
      </c>
      <c r="J843" s="1">
        <v>0</v>
      </c>
      <c r="K843" s="1">
        <v>17</v>
      </c>
      <c r="L843" s="1" t="s">
        <v>268</v>
      </c>
      <c r="M843" s="1" t="s">
        <v>33</v>
      </c>
      <c r="N843" s="1" t="s">
        <v>134</v>
      </c>
      <c r="O843" s="1" t="s">
        <v>269</v>
      </c>
    </row>
    <row r="844" spans="1:15" x14ac:dyDescent="0.4">
      <c r="A844" s="1" t="s">
        <v>4669</v>
      </c>
      <c r="B844" s="1" t="s">
        <v>4668</v>
      </c>
      <c r="C844" s="1" t="s">
        <v>4671</v>
      </c>
      <c r="D844" s="1" t="s">
        <v>4621</v>
      </c>
      <c r="E844" s="1" t="s">
        <v>76</v>
      </c>
      <c r="F844" s="1" t="s">
        <v>14</v>
      </c>
      <c r="G844" s="4" t="str">
        <f>"07823-9798"</f>
        <v>07823-9798</v>
      </c>
      <c r="H844" s="1">
        <v>11</v>
      </c>
      <c r="I844" s="1">
        <v>4</v>
      </c>
      <c r="J844" s="1">
        <v>0</v>
      </c>
      <c r="K844" s="1">
        <v>31</v>
      </c>
      <c r="L844" s="1" t="s">
        <v>317</v>
      </c>
      <c r="M844" s="1" t="s">
        <v>313</v>
      </c>
      <c r="N844" s="1" t="s">
        <v>134</v>
      </c>
      <c r="O844" s="1" t="s">
        <v>4670</v>
      </c>
    </row>
    <row r="845" spans="1:15" x14ac:dyDescent="0.4">
      <c r="A845" s="1" t="s">
        <v>2275</v>
      </c>
      <c r="B845" s="1" t="s">
        <v>2261</v>
      </c>
      <c r="C845" s="1" t="s">
        <v>2279</v>
      </c>
      <c r="D845" s="1" t="s">
        <v>94</v>
      </c>
      <c r="E845" s="1" t="s">
        <v>4677</v>
      </c>
      <c r="F845" s="1" t="s">
        <v>14</v>
      </c>
      <c r="G845" s="4" t="str">
        <f>"08094-9201"</f>
        <v>08094-9201</v>
      </c>
      <c r="H845" s="1">
        <v>12</v>
      </c>
      <c r="I845" s="1">
        <v>3.1</v>
      </c>
      <c r="J845" s="1">
        <v>0</v>
      </c>
      <c r="K845" s="1">
        <v>70</v>
      </c>
      <c r="L845" s="1" t="s">
        <v>2276</v>
      </c>
      <c r="M845" s="1" t="s">
        <v>2277</v>
      </c>
      <c r="N845" s="1" t="s">
        <v>12</v>
      </c>
      <c r="O845" s="1" t="s">
        <v>2278</v>
      </c>
    </row>
    <row r="846" spans="1:15" x14ac:dyDescent="0.4">
      <c r="A846" s="1" t="s">
        <v>2723</v>
      </c>
      <c r="B846" s="1" t="s">
        <v>2717</v>
      </c>
      <c r="C846" s="1" t="s">
        <v>2725</v>
      </c>
      <c r="D846" s="1" t="s">
        <v>2718</v>
      </c>
      <c r="E846" s="1" t="s">
        <v>4682</v>
      </c>
      <c r="F846" s="1" t="s">
        <v>14</v>
      </c>
      <c r="G846" s="4" t="str">
        <f>"08889-0157"</f>
        <v>08889-0157</v>
      </c>
      <c r="H846" s="1">
        <v>23</v>
      </c>
      <c r="I846" s="1">
        <v>6.9</v>
      </c>
      <c r="J846" s="1">
        <v>0</v>
      </c>
      <c r="K846" s="1">
        <v>76</v>
      </c>
      <c r="L846" s="1" t="s">
        <v>483</v>
      </c>
      <c r="M846" s="1" t="s">
        <v>734</v>
      </c>
      <c r="N846" s="1" t="s">
        <v>12</v>
      </c>
      <c r="O846" s="1" t="s">
        <v>2724</v>
      </c>
    </row>
    <row r="847" spans="1:15" x14ac:dyDescent="0.4">
      <c r="A847" s="1" t="s">
        <v>3778</v>
      </c>
      <c r="B847" s="1" t="s">
        <v>3763</v>
      </c>
      <c r="C847" s="1" t="s">
        <v>3781</v>
      </c>
      <c r="D847" s="1" t="s">
        <v>3782</v>
      </c>
      <c r="E847" s="1" t="s">
        <v>4685</v>
      </c>
      <c r="F847" s="1" t="s">
        <v>14</v>
      </c>
      <c r="G847" s="4" t="str">
        <f>"08759-1336"</f>
        <v>08759-1336</v>
      </c>
      <c r="H847" s="1">
        <v>77</v>
      </c>
      <c r="I847" s="1">
        <v>28.9</v>
      </c>
      <c r="J847" s="1">
        <v>0</v>
      </c>
      <c r="K847" s="1">
        <v>38</v>
      </c>
      <c r="L847" s="1" t="s">
        <v>1283</v>
      </c>
      <c r="M847" s="1" t="s">
        <v>3779</v>
      </c>
      <c r="N847" s="1" t="s">
        <v>12</v>
      </c>
      <c r="O847" s="1" t="s">
        <v>3780</v>
      </c>
    </row>
    <row r="848" spans="1:15" x14ac:dyDescent="0.4">
      <c r="A848" s="1" t="s">
        <v>1878</v>
      </c>
      <c r="B848" s="1" t="s">
        <v>1826</v>
      </c>
      <c r="C848" s="1" t="s">
        <v>1880</v>
      </c>
      <c r="D848" s="1" t="s">
        <v>1612</v>
      </c>
      <c r="E848" s="1" t="s">
        <v>4681</v>
      </c>
      <c r="F848" s="1" t="s">
        <v>14</v>
      </c>
      <c r="G848" s="4" t="str">
        <f>"07017-2106"</f>
        <v>07017-2106</v>
      </c>
      <c r="H848" s="1">
        <v>15</v>
      </c>
      <c r="I848" s="1">
        <v>3.9</v>
      </c>
      <c r="J848" s="1">
        <v>0</v>
      </c>
      <c r="K848" s="1">
        <v>18</v>
      </c>
      <c r="L848" s="1" t="s">
        <v>1178</v>
      </c>
      <c r="M848" s="1" t="s">
        <v>1642</v>
      </c>
      <c r="N848" s="1" t="s">
        <v>12</v>
      </c>
      <c r="O848" s="1" t="s">
        <v>1879</v>
      </c>
    </row>
    <row r="849" spans="1:15" x14ac:dyDescent="0.4">
      <c r="A849" s="1" t="s">
        <v>4713</v>
      </c>
      <c r="B849" s="1" t="s">
        <v>2416</v>
      </c>
      <c r="C849" s="1" t="s">
        <v>2515</v>
      </c>
      <c r="D849" s="1" t="s">
        <v>1624</v>
      </c>
      <c r="E849" s="1" t="s">
        <v>2239</v>
      </c>
      <c r="F849" s="1" t="s">
        <v>14</v>
      </c>
      <c r="G849" s="4" t="str">
        <f>"07305-3208"</f>
        <v>07305-3208</v>
      </c>
      <c r="H849" s="1">
        <v>79</v>
      </c>
      <c r="I849" s="1">
        <v>12.7</v>
      </c>
      <c r="J849" s="1">
        <v>0</v>
      </c>
      <c r="K849" s="1">
        <v>70</v>
      </c>
      <c r="L849" s="1" t="s">
        <v>2512</v>
      </c>
      <c r="M849" s="1" t="s">
        <v>2513</v>
      </c>
      <c r="N849" s="1" t="s">
        <v>12</v>
      </c>
      <c r="O849" s="1" t="s">
        <v>2514</v>
      </c>
    </row>
    <row r="850" spans="1:15" x14ac:dyDescent="0.4">
      <c r="A850" s="1" t="s">
        <v>885</v>
      </c>
      <c r="B850" s="1" t="s">
        <v>878</v>
      </c>
      <c r="C850" s="1" t="s">
        <v>888</v>
      </c>
      <c r="D850" s="1" t="s">
        <v>879</v>
      </c>
      <c r="E850" s="1" t="s">
        <v>4675</v>
      </c>
      <c r="F850" s="1" t="s">
        <v>14</v>
      </c>
      <c r="G850" s="4" t="str">
        <f>"07666"</f>
        <v>07666</v>
      </c>
      <c r="H850" s="1">
        <v>283</v>
      </c>
      <c r="I850" s="1">
        <v>100</v>
      </c>
      <c r="J850" s="1">
        <v>0</v>
      </c>
      <c r="K850" s="1">
        <v>0</v>
      </c>
      <c r="L850" s="1" t="s">
        <v>132</v>
      </c>
      <c r="M850" s="1" t="s">
        <v>886</v>
      </c>
      <c r="N850" s="1" t="s">
        <v>12</v>
      </c>
      <c r="O850" s="1" t="s">
        <v>887</v>
      </c>
    </row>
    <row r="851" spans="1:15" x14ac:dyDescent="0.4">
      <c r="A851" s="1" t="s">
        <v>184</v>
      </c>
      <c r="B851" s="1" t="s">
        <v>177</v>
      </c>
      <c r="C851" s="1" t="s">
        <v>187</v>
      </c>
      <c r="D851" s="1" t="s">
        <v>74</v>
      </c>
      <c r="E851" s="1" t="s">
        <v>4674</v>
      </c>
      <c r="F851" s="1" t="s">
        <v>14</v>
      </c>
      <c r="G851" s="4" t="str">
        <f>"08330"</f>
        <v>08330</v>
      </c>
      <c r="H851" s="1">
        <v>37</v>
      </c>
      <c r="I851" s="1">
        <v>3.9</v>
      </c>
      <c r="J851" s="1">
        <v>0</v>
      </c>
      <c r="K851" s="1">
        <v>0</v>
      </c>
      <c r="L851" s="1" t="s">
        <v>40</v>
      </c>
      <c r="M851" s="1" t="s">
        <v>185</v>
      </c>
      <c r="N851" s="1" t="s">
        <v>12</v>
      </c>
      <c r="O851" s="1" t="s">
        <v>186</v>
      </c>
    </row>
    <row r="852" spans="1:15" x14ac:dyDescent="0.4">
      <c r="A852" s="1" t="s">
        <v>4426</v>
      </c>
      <c r="B852" s="1" t="s">
        <v>4361</v>
      </c>
      <c r="C852" s="1" t="s">
        <v>4430</v>
      </c>
      <c r="D852" s="1" t="s">
        <v>2423</v>
      </c>
      <c r="E852" s="1" t="s">
        <v>4594</v>
      </c>
      <c r="F852" s="1" t="s">
        <v>14</v>
      </c>
      <c r="G852" s="4" t="str">
        <f>"07202"</f>
        <v>07202</v>
      </c>
      <c r="H852" s="1">
        <v>148</v>
      </c>
      <c r="I852" s="1">
        <v>12.8</v>
      </c>
      <c r="J852" s="1">
        <v>0</v>
      </c>
      <c r="K852" s="1">
        <v>11</v>
      </c>
      <c r="L852" s="1" t="s">
        <v>4427</v>
      </c>
      <c r="M852" s="1" t="s">
        <v>4428</v>
      </c>
      <c r="N852" s="1" t="s">
        <v>12</v>
      </c>
      <c r="O852" s="1" t="s">
        <v>4429</v>
      </c>
    </row>
    <row r="853" spans="1:15" x14ac:dyDescent="0.4">
      <c r="A853" s="1" t="s">
        <v>2752</v>
      </c>
      <c r="B853" s="1" t="s">
        <v>2748</v>
      </c>
      <c r="C853" s="1" t="s">
        <v>2755</v>
      </c>
      <c r="D853" s="1" t="s">
        <v>2749</v>
      </c>
      <c r="E853" s="1" t="s">
        <v>4683</v>
      </c>
      <c r="F853" s="1" t="s">
        <v>14</v>
      </c>
      <c r="G853" s="4" t="str">
        <f>"08638-1721"</f>
        <v>08638-1721</v>
      </c>
      <c r="H853" s="1">
        <v>13</v>
      </c>
      <c r="I853" s="1">
        <v>1.7</v>
      </c>
      <c r="J853" s="1">
        <v>0</v>
      </c>
      <c r="K853" s="1">
        <v>115</v>
      </c>
      <c r="L853" s="1" t="s">
        <v>2753</v>
      </c>
      <c r="M853" s="1" t="s">
        <v>2407</v>
      </c>
      <c r="N853" s="1" t="s">
        <v>12</v>
      </c>
      <c r="O853" s="1" t="s">
        <v>2754</v>
      </c>
    </row>
    <row r="854" spans="1:15" x14ac:dyDescent="0.4">
      <c r="A854" s="1" t="s">
        <v>4111</v>
      </c>
      <c r="B854" s="1" t="s">
        <v>4110</v>
      </c>
      <c r="C854" s="1" t="s">
        <v>4114</v>
      </c>
      <c r="D854" s="1" t="s">
        <v>4115</v>
      </c>
      <c r="E854" s="1" t="s">
        <v>4686</v>
      </c>
      <c r="F854" s="1" t="s">
        <v>14</v>
      </c>
      <c r="G854" s="4" t="str">
        <f>"08098"</f>
        <v>08098</v>
      </c>
      <c r="H854" s="1">
        <v>113</v>
      </c>
      <c r="I854" s="1">
        <v>100</v>
      </c>
      <c r="J854" s="1">
        <v>0</v>
      </c>
      <c r="K854" s="1">
        <v>0</v>
      </c>
      <c r="L854" s="1" t="s">
        <v>40</v>
      </c>
      <c r="M854" s="1" t="s">
        <v>4112</v>
      </c>
      <c r="N854" s="1" t="s">
        <v>12</v>
      </c>
      <c r="O854" s="1" t="s">
        <v>4113</v>
      </c>
    </row>
    <row r="855" spans="1:15" x14ac:dyDescent="0.4">
      <c r="A855" s="1" t="s">
        <v>2388</v>
      </c>
      <c r="B855" s="1" t="s">
        <v>2350</v>
      </c>
      <c r="C855" s="1" t="s">
        <v>2391</v>
      </c>
      <c r="D855" s="1" t="s">
        <v>2351</v>
      </c>
      <c r="E855" s="1" t="s">
        <v>2239</v>
      </c>
      <c r="F855" s="1" t="s">
        <v>14</v>
      </c>
      <c r="G855" s="4" t="str">
        <f>"07002"</f>
        <v>07002</v>
      </c>
      <c r="H855" s="1">
        <v>110</v>
      </c>
      <c r="I855" s="1">
        <v>9.1</v>
      </c>
      <c r="J855" s="1">
        <v>0</v>
      </c>
      <c r="K855" s="1">
        <v>114</v>
      </c>
      <c r="L855" s="1" t="s">
        <v>34</v>
      </c>
      <c r="M855" s="1" t="s">
        <v>2389</v>
      </c>
      <c r="N855" s="1" t="s">
        <v>12</v>
      </c>
      <c r="O855" s="1" t="s">
        <v>2390</v>
      </c>
    </row>
    <row r="856" spans="1:15" x14ac:dyDescent="0.4">
      <c r="A856" s="1" t="s">
        <v>625</v>
      </c>
      <c r="B856" s="1" t="s">
        <v>606</v>
      </c>
      <c r="C856" s="1" t="s">
        <v>628</v>
      </c>
      <c r="D856" s="1" t="s">
        <v>611</v>
      </c>
      <c r="E856" s="1" t="s">
        <v>4675</v>
      </c>
      <c r="F856" s="1" t="s">
        <v>14</v>
      </c>
      <c r="G856" s="4" t="str">
        <f>"07644"</f>
        <v>07644</v>
      </c>
      <c r="H856" s="1">
        <v>29</v>
      </c>
      <c r="I856" s="1">
        <v>7.6</v>
      </c>
      <c r="J856" s="1">
        <v>0</v>
      </c>
      <c r="K856" s="1">
        <v>56</v>
      </c>
      <c r="L856" s="1" t="s">
        <v>392</v>
      </c>
      <c r="M856" s="1" t="s">
        <v>626</v>
      </c>
      <c r="N856" s="1" t="s">
        <v>12</v>
      </c>
      <c r="O856" s="1" t="s">
        <v>627</v>
      </c>
    </row>
    <row r="857" spans="1:15" x14ac:dyDescent="0.4">
      <c r="A857" s="1" t="s">
        <v>4431</v>
      </c>
      <c r="B857" s="1" t="s">
        <v>4361</v>
      </c>
      <c r="C857" s="1" t="s">
        <v>4435</v>
      </c>
      <c r="D857" s="1" t="s">
        <v>2423</v>
      </c>
      <c r="E857" s="1" t="s">
        <v>4594</v>
      </c>
      <c r="F857" s="1" t="s">
        <v>14</v>
      </c>
      <c r="G857" s="4" t="str">
        <f>"07201-2420"</f>
        <v>07201-2420</v>
      </c>
      <c r="H857" s="1">
        <v>75</v>
      </c>
      <c r="I857" s="1">
        <v>11.9</v>
      </c>
      <c r="J857" s="1">
        <v>0</v>
      </c>
      <c r="K857" s="1">
        <v>66</v>
      </c>
      <c r="L857" s="1" t="s">
        <v>4432</v>
      </c>
      <c r="M857" s="1" t="s">
        <v>4433</v>
      </c>
      <c r="N857" s="1" t="s">
        <v>12</v>
      </c>
      <c r="O857" s="1" t="s">
        <v>4434</v>
      </c>
    </row>
    <row r="858" spans="1:15" x14ac:dyDescent="0.4">
      <c r="A858" s="1" t="s">
        <v>4606</v>
      </c>
      <c r="B858" s="1" t="s">
        <v>4606</v>
      </c>
      <c r="C858" s="1" t="s">
        <v>4609</v>
      </c>
      <c r="D858" s="1" t="s">
        <v>4610</v>
      </c>
      <c r="E858" s="1" t="s">
        <v>4594</v>
      </c>
      <c r="F858" s="1" t="s">
        <v>14</v>
      </c>
      <c r="G858" s="4" t="str">
        <f>"07036"</f>
        <v>07036</v>
      </c>
      <c r="H858" s="1">
        <v>14</v>
      </c>
      <c r="I858" s="1">
        <v>9.9</v>
      </c>
      <c r="J858" s="1">
        <v>0</v>
      </c>
      <c r="K858" s="1">
        <v>14</v>
      </c>
      <c r="L858" s="1" t="s">
        <v>2912</v>
      </c>
      <c r="M858" s="1" t="s">
        <v>4607</v>
      </c>
      <c r="N858" s="1" t="s">
        <v>134</v>
      </c>
      <c r="O858" s="1" t="s">
        <v>4608</v>
      </c>
    </row>
    <row r="859" spans="1:15" x14ac:dyDescent="0.4">
      <c r="A859" s="1" t="s">
        <v>1477</v>
      </c>
      <c r="B859" s="1" t="s">
        <v>1476</v>
      </c>
      <c r="C859" s="1" t="s">
        <v>1478</v>
      </c>
      <c r="D859" s="1" t="s">
        <v>1479</v>
      </c>
      <c r="E859" s="1" t="s">
        <v>1271</v>
      </c>
      <c r="F859" s="1" t="s">
        <v>14</v>
      </c>
      <c r="G859" s="4" t="str">
        <f>"08089"</f>
        <v>08089</v>
      </c>
      <c r="H859" s="1">
        <v>73</v>
      </c>
      <c r="I859" s="1">
        <v>100</v>
      </c>
      <c r="J859" s="1">
        <v>0</v>
      </c>
      <c r="K859" s="1">
        <v>0</v>
      </c>
      <c r="L859" s="1"/>
      <c r="M859" s="1"/>
      <c r="N859" s="1"/>
      <c r="O859" s="1"/>
    </row>
    <row r="860" spans="1:15" x14ac:dyDescent="0.4">
      <c r="A860" s="1" t="s">
        <v>1480</v>
      </c>
      <c r="B860" s="1" t="s">
        <v>1476</v>
      </c>
      <c r="C860" s="1" t="s">
        <v>1482</v>
      </c>
      <c r="D860" s="1" t="s">
        <v>1353</v>
      </c>
      <c r="E860" s="1" t="s">
        <v>1271</v>
      </c>
      <c r="F860" s="1" t="s">
        <v>14</v>
      </c>
      <c r="G860" s="4" t="str">
        <f>"08081"</f>
        <v>08081</v>
      </c>
      <c r="H860" s="1">
        <v>91</v>
      </c>
      <c r="I860" s="1">
        <v>17.600000000000001</v>
      </c>
      <c r="J860" s="1">
        <v>0</v>
      </c>
      <c r="K860" s="1">
        <v>99</v>
      </c>
      <c r="L860" s="1" t="s">
        <v>201</v>
      </c>
      <c r="M860" s="1" t="s">
        <v>26</v>
      </c>
      <c r="N860" s="1" t="s">
        <v>12</v>
      </c>
      <c r="O860" s="1" t="s">
        <v>1481</v>
      </c>
    </row>
    <row r="861" spans="1:15" x14ac:dyDescent="0.4">
      <c r="A861" s="1" t="s">
        <v>1483</v>
      </c>
      <c r="B861" s="1" t="s">
        <v>1476</v>
      </c>
      <c r="C861" s="1" t="s">
        <v>1486</v>
      </c>
      <c r="D861" s="1" t="s">
        <v>1487</v>
      </c>
      <c r="E861" s="1" t="s">
        <v>1271</v>
      </c>
      <c r="F861" s="1" t="s">
        <v>14</v>
      </c>
      <c r="G861" s="4" t="str">
        <f>"08037-9511"</f>
        <v>08037-9511</v>
      </c>
      <c r="H861" s="1">
        <v>52</v>
      </c>
      <c r="I861" s="1">
        <v>13.7</v>
      </c>
      <c r="J861" s="1">
        <v>0</v>
      </c>
      <c r="K861" s="1">
        <v>74</v>
      </c>
      <c r="L861" s="1" t="s">
        <v>1484</v>
      </c>
      <c r="M861" s="1" t="s">
        <v>301</v>
      </c>
      <c r="N861" s="1" t="s">
        <v>12</v>
      </c>
      <c r="O861" s="1" t="s">
        <v>1485</v>
      </c>
    </row>
    <row r="862" spans="1:15" x14ac:dyDescent="0.4">
      <c r="A862" s="1" t="s">
        <v>1489</v>
      </c>
      <c r="B862" s="1" t="s">
        <v>1476</v>
      </c>
      <c r="C862" s="1" t="s">
        <v>1493</v>
      </c>
      <c r="D862" s="1" t="s">
        <v>1353</v>
      </c>
      <c r="E862" s="1" t="s">
        <v>1271</v>
      </c>
      <c r="F862" s="1" t="s">
        <v>14</v>
      </c>
      <c r="G862" s="4" t="str">
        <f>"08081"</f>
        <v>08081</v>
      </c>
      <c r="H862" s="1">
        <v>66</v>
      </c>
      <c r="I862" s="1">
        <v>14.2</v>
      </c>
      <c r="J862" s="1">
        <v>0</v>
      </c>
      <c r="K862" s="1">
        <v>102</v>
      </c>
      <c r="L862" s="1" t="s">
        <v>1490</v>
      </c>
      <c r="M862" s="1" t="s">
        <v>1491</v>
      </c>
      <c r="N862" s="1" t="s">
        <v>12</v>
      </c>
      <c r="O862" s="1" t="s">
        <v>1492</v>
      </c>
    </row>
    <row r="863" spans="1:15" x14ac:dyDescent="0.4">
      <c r="A863" s="1" t="s">
        <v>1495</v>
      </c>
      <c r="B863" s="1" t="s">
        <v>1476</v>
      </c>
      <c r="C863" s="1" t="s">
        <v>1497</v>
      </c>
      <c r="D863" s="1" t="s">
        <v>1293</v>
      </c>
      <c r="E863" s="1" t="s">
        <v>1271</v>
      </c>
      <c r="F863" s="1" t="s">
        <v>14</v>
      </c>
      <c r="G863" s="4" t="str">
        <f>"08081"</f>
        <v>08081</v>
      </c>
      <c r="H863" s="1">
        <v>44</v>
      </c>
      <c r="I863" s="1">
        <v>13.1</v>
      </c>
      <c r="J863" s="1">
        <v>0</v>
      </c>
      <c r="K863" s="1">
        <v>77</v>
      </c>
      <c r="L863" s="1" t="s">
        <v>1070</v>
      </c>
      <c r="M863" s="1" t="s">
        <v>1108</v>
      </c>
      <c r="N863" s="1" t="s">
        <v>12</v>
      </c>
      <c r="O863" s="1" t="s">
        <v>1496</v>
      </c>
    </row>
    <row r="864" spans="1:15" x14ac:dyDescent="0.4">
      <c r="A864" s="1" t="s">
        <v>3373</v>
      </c>
      <c r="B864" s="1" t="s">
        <v>3371</v>
      </c>
      <c r="C864" s="1" t="s">
        <v>3376</v>
      </c>
      <c r="D864" s="1" t="s">
        <v>3372</v>
      </c>
      <c r="E864" s="1" t="s">
        <v>4684</v>
      </c>
      <c r="F864" s="1" t="s">
        <v>14</v>
      </c>
      <c r="G864" s="4" t="str">
        <f>"07757-1000"</f>
        <v>07757-1000</v>
      </c>
      <c r="H864" s="1">
        <v>72</v>
      </c>
      <c r="I864" s="1">
        <v>20.5</v>
      </c>
      <c r="J864" s="1">
        <v>0</v>
      </c>
      <c r="K864" s="1">
        <v>63</v>
      </c>
      <c r="L864" s="1" t="s">
        <v>234</v>
      </c>
      <c r="M864" s="1" t="s">
        <v>3374</v>
      </c>
      <c r="N864" s="1" t="s">
        <v>12</v>
      </c>
      <c r="O864" s="1" t="s">
        <v>3375</v>
      </c>
    </row>
    <row r="865" spans="1:15" x14ac:dyDescent="0.4">
      <c r="A865" s="1" t="s">
        <v>1580</v>
      </c>
      <c r="B865" s="1" t="s">
        <v>1579</v>
      </c>
      <c r="C865" s="1" t="s">
        <v>1583</v>
      </c>
      <c r="D865" s="1" t="s">
        <v>1584</v>
      </c>
      <c r="E865" s="1" t="s">
        <v>4678</v>
      </c>
      <c r="F865" s="1" t="s">
        <v>14</v>
      </c>
      <c r="G865" s="4" t="str">
        <f>"08270"</f>
        <v>08270</v>
      </c>
      <c r="H865" s="1">
        <v>45</v>
      </c>
      <c r="I865" s="1">
        <v>18.2</v>
      </c>
      <c r="J865" s="1">
        <v>0</v>
      </c>
      <c r="K865" s="1">
        <v>26</v>
      </c>
      <c r="L865" s="1" t="s">
        <v>103</v>
      </c>
      <c r="M865" s="1" t="s">
        <v>1581</v>
      </c>
      <c r="N865" s="1" t="s">
        <v>105</v>
      </c>
      <c r="O865" s="1" t="s">
        <v>1582</v>
      </c>
    </row>
    <row r="866" spans="1:15" x14ac:dyDescent="0.4">
      <c r="A866" s="1" t="s">
        <v>2346</v>
      </c>
      <c r="B866" s="1" t="s">
        <v>2345</v>
      </c>
      <c r="C866" s="1" t="s">
        <v>2349</v>
      </c>
      <c r="D866" s="1" t="s">
        <v>2219</v>
      </c>
      <c r="E866" s="1" t="s">
        <v>4677</v>
      </c>
      <c r="F866" s="1" t="s">
        <v>14</v>
      </c>
      <c r="G866" s="4" t="str">
        <f>"08097"</f>
        <v>08097</v>
      </c>
      <c r="H866" s="1">
        <v>6</v>
      </c>
      <c r="I866" s="1">
        <v>2.4</v>
      </c>
      <c r="J866" s="1">
        <v>0</v>
      </c>
      <c r="K866" s="1">
        <v>28</v>
      </c>
      <c r="L866" s="1" t="s">
        <v>1535</v>
      </c>
      <c r="M866" s="1" t="s">
        <v>2347</v>
      </c>
      <c r="N866" s="1" t="s">
        <v>134</v>
      </c>
      <c r="O866" s="1" t="s">
        <v>2348</v>
      </c>
    </row>
    <row r="867" spans="1:15" x14ac:dyDescent="0.4">
      <c r="A867" s="1" t="s">
        <v>1499</v>
      </c>
      <c r="B867" s="1" t="s">
        <v>1498</v>
      </c>
      <c r="C867" s="1" t="s">
        <v>1502</v>
      </c>
      <c r="D867" s="1" t="s">
        <v>1503</v>
      </c>
      <c r="E867" s="1" t="s">
        <v>1271</v>
      </c>
      <c r="F867" s="1" t="s">
        <v>14</v>
      </c>
      <c r="G867" s="4" t="str">
        <f>"08107"</f>
        <v>08107</v>
      </c>
      <c r="H867" s="1">
        <v>42</v>
      </c>
      <c r="I867" s="1">
        <v>10.3</v>
      </c>
      <c r="J867" s="1">
        <v>0</v>
      </c>
      <c r="K867" s="1">
        <v>39</v>
      </c>
      <c r="L867" s="1" t="s">
        <v>1034</v>
      </c>
      <c r="M867" s="1" t="s">
        <v>1500</v>
      </c>
      <c r="N867" s="1" t="s">
        <v>12</v>
      </c>
      <c r="O867" s="1" t="s">
        <v>1501</v>
      </c>
    </row>
    <row r="868" spans="1:15" x14ac:dyDescent="0.4">
      <c r="A868" s="1" t="s">
        <v>3187</v>
      </c>
      <c r="B868" s="1" t="s">
        <v>3179</v>
      </c>
      <c r="C868" s="1" t="s">
        <v>3190</v>
      </c>
      <c r="D868" s="1" t="s">
        <v>3183</v>
      </c>
      <c r="E868" s="1" t="s">
        <v>4684</v>
      </c>
      <c r="F868" s="1" t="s">
        <v>14</v>
      </c>
      <c r="G868" s="4" t="str">
        <f>"07724-2192"</f>
        <v>07724-2192</v>
      </c>
      <c r="H868" s="1">
        <v>28</v>
      </c>
      <c r="I868" s="1">
        <v>11.9</v>
      </c>
      <c r="J868" s="1">
        <v>0</v>
      </c>
      <c r="K868" s="1">
        <v>0</v>
      </c>
      <c r="L868" s="1" t="s">
        <v>10</v>
      </c>
      <c r="M868" s="1" t="s">
        <v>3188</v>
      </c>
      <c r="N868" s="1" t="s">
        <v>12</v>
      </c>
      <c r="O868" s="1" t="s">
        <v>3189</v>
      </c>
    </row>
    <row r="869" spans="1:15" x14ac:dyDescent="0.4">
      <c r="A869" s="1" t="s">
        <v>3346</v>
      </c>
      <c r="B869" s="1" t="s">
        <v>3345</v>
      </c>
      <c r="C869" s="1" t="s">
        <v>3349</v>
      </c>
      <c r="D869" s="1" t="s">
        <v>3350</v>
      </c>
      <c r="E869" s="1" t="s">
        <v>4684</v>
      </c>
      <c r="F869" s="1" t="s">
        <v>14</v>
      </c>
      <c r="G869" s="4" t="str">
        <f>"07753-6299"</f>
        <v>07753-6299</v>
      </c>
      <c r="H869" s="1">
        <v>39</v>
      </c>
      <c r="I869" s="1">
        <v>14.8</v>
      </c>
      <c r="J869" s="1">
        <v>0</v>
      </c>
      <c r="K869" s="1">
        <v>27</v>
      </c>
      <c r="L869" s="1" t="s">
        <v>770</v>
      </c>
      <c r="M869" s="1" t="s">
        <v>3347</v>
      </c>
      <c r="N869" s="1" t="s">
        <v>134</v>
      </c>
      <c r="O869" s="1" t="s">
        <v>3348</v>
      </c>
    </row>
    <row r="870" spans="1:15" x14ac:dyDescent="0.4">
      <c r="A870" s="1" t="s">
        <v>2392</v>
      </c>
      <c r="B870" s="1" t="s">
        <v>2350</v>
      </c>
      <c r="C870" s="1" t="s">
        <v>2395</v>
      </c>
      <c r="D870" s="1" t="s">
        <v>2351</v>
      </c>
      <c r="E870" s="1" t="s">
        <v>2239</v>
      </c>
      <c r="F870" s="1" t="s">
        <v>14</v>
      </c>
      <c r="G870" s="4" t="str">
        <f>"07002"</f>
        <v>07002</v>
      </c>
      <c r="H870" s="1">
        <v>84</v>
      </c>
      <c r="I870" s="1">
        <v>11.4</v>
      </c>
      <c r="J870" s="1">
        <v>0</v>
      </c>
      <c r="K870" s="1">
        <v>73</v>
      </c>
      <c r="L870" s="1" t="s">
        <v>1154</v>
      </c>
      <c r="M870" s="1" t="s">
        <v>2393</v>
      </c>
      <c r="N870" s="1" t="s">
        <v>12</v>
      </c>
      <c r="O870" s="1" t="s">
        <v>2394</v>
      </c>
    </row>
    <row r="871" spans="1:15" x14ac:dyDescent="0.4">
      <c r="A871" s="1" t="s">
        <v>3002</v>
      </c>
      <c r="B871" s="1" t="s">
        <v>2978</v>
      </c>
      <c r="C871" s="1" t="s">
        <v>3005</v>
      </c>
      <c r="D871" s="1" t="s">
        <v>1619</v>
      </c>
      <c r="E871" s="1" t="s">
        <v>2962</v>
      </c>
      <c r="F871" s="1" t="s">
        <v>14</v>
      </c>
      <c r="G871" s="4" t="str">
        <f>"08901-1652"</f>
        <v>08901-1652</v>
      </c>
      <c r="H871" s="1">
        <v>23</v>
      </c>
      <c r="I871" s="1">
        <v>6.6</v>
      </c>
      <c r="J871" s="1">
        <v>0</v>
      </c>
      <c r="K871" s="1">
        <v>35</v>
      </c>
      <c r="L871" s="1" t="s">
        <v>176</v>
      </c>
      <c r="M871" s="1" t="s">
        <v>3003</v>
      </c>
      <c r="N871" s="1" t="s">
        <v>12</v>
      </c>
      <c r="O871" s="1" t="s">
        <v>3004</v>
      </c>
    </row>
    <row r="872" spans="1:15" x14ac:dyDescent="0.4">
      <c r="A872" s="1" t="s">
        <v>3002</v>
      </c>
      <c r="B872" s="1" t="s">
        <v>3054</v>
      </c>
      <c r="C872" s="1" t="s">
        <v>3066</v>
      </c>
      <c r="D872" s="1" t="s">
        <v>3067</v>
      </c>
      <c r="E872" s="1" t="s">
        <v>2962</v>
      </c>
      <c r="F872" s="1" t="s">
        <v>14</v>
      </c>
      <c r="G872" s="4" t="str">
        <f>"08872"</f>
        <v>08872</v>
      </c>
      <c r="H872" s="1">
        <v>23</v>
      </c>
      <c r="I872" s="1">
        <v>6.6</v>
      </c>
      <c r="J872" s="1">
        <v>0</v>
      </c>
      <c r="K872" s="1">
        <v>35</v>
      </c>
      <c r="L872" s="1" t="s">
        <v>787</v>
      </c>
      <c r="M872" s="1" t="s">
        <v>859</v>
      </c>
      <c r="N872" s="1" t="s">
        <v>12</v>
      </c>
      <c r="O872" s="1" t="s">
        <v>3065</v>
      </c>
    </row>
    <row r="873" spans="1:15" x14ac:dyDescent="0.4">
      <c r="A873" s="1" t="s">
        <v>4436</v>
      </c>
      <c r="B873" s="1" t="s">
        <v>4361</v>
      </c>
      <c r="C873" s="1" t="s">
        <v>4439</v>
      </c>
      <c r="D873" s="1" t="s">
        <v>2423</v>
      </c>
      <c r="E873" s="1" t="s">
        <v>4594</v>
      </c>
      <c r="F873" s="1" t="s">
        <v>14</v>
      </c>
      <c r="G873" s="4" t="str">
        <f>"07202-3301"</f>
        <v>07202-3301</v>
      </c>
      <c r="H873" s="1">
        <v>40</v>
      </c>
      <c r="I873" s="1">
        <v>7.1</v>
      </c>
      <c r="J873" s="1">
        <v>0</v>
      </c>
      <c r="K873" s="1">
        <v>86</v>
      </c>
      <c r="L873" s="1" t="s">
        <v>366</v>
      </c>
      <c r="M873" s="1" t="s">
        <v>4437</v>
      </c>
      <c r="N873" s="1" t="s">
        <v>12</v>
      </c>
      <c r="O873" s="1" t="s">
        <v>4438</v>
      </c>
    </row>
    <row r="874" spans="1:15" x14ac:dyDescent="0.4">
      <c r="A874" s="1" t="s">
        <v>4185</v>
      </c>
      <c r="B874" s="1" t="s">
        <v>4179</v>
      </c>
      <c r="C874" s="1" t="s">
        <v>4189</v>
      </c>
      <c r="D874" s="1" t="s">
        <v>4180</v>
      </c>
      <c r="E874" s="1" t="s">
        <v>1597</v>
      </c>
      <c r="F874" s="1" t="s">
        <v>14</v>
      </c>
      <c r="G874" s="4" t="str">
        <f>"08844"</f>
        <v>08844</v>
      </c>
      <c r="H874" s="1">
        <v>11</v>
      </c>
      <c r="I874" s="1">
        <v>2.7</v>
      </c>
      <c r="J874" s="1">
        <v>47</v>
      </c>
      <c r="K874" s="1">
        <v>6</v>
      </c>
      <c r="L874" s="1" t="s">
        <v>4186</v>
      </c>
      <c r="M874" s="1" t="s">
        <v>4187</v>
      </c>
      <c r="N874" s="1" t="s">
        <v>12</v>
      </c>
      <c r="O874" s="1" t="s">
        <v>4188</v>
      </c>
    </row>
    <row r="875" spans="1:15" x14ac:dyDescent="0.4">
      <c r="A875" s="1" t="s">
        <v>482</v>
      </c>
      <c r="B875" s="1" t="s">
        <v>471</v>
      </c>
      <c r="C875" s="1" t="s">
        <v>486</v>
      </c>
      <c r="D875" s="1" t="s">
        <v>476</v>
      </c>
      <c r="E875" s="1" t="s">
        <v>4675</v>
      </c>
      <c r="F875" s="1" t="s">
        <v>14</v>
      </c>
      <c r="G875" s="4" t="str">
        <f>"07417-2030"</f>
        <v>07417-2030</v>
      </c>
      <c r="H875" s="1">
        <v>1</v>
      </c>
      <c r="I875" s="1">
        <v>0.4</v>
      </c>
      <c r="J875" s="1">
        <v>0</v>
      </c>
      <c r="K875" s="1">
        <v>30</v>
      </c>
      <c r="L875" s="1" t="s">
        <v>483</v>
      </c>
      <c r="M875" s="1" t="s">
        <v>484</v>
      </c>
      <c r="N875" s="1" t="s">
        <v>12</v>
      </c>
      <c r="O875" s="1" t="s">
        <v>485</v>
      </c>
    </row>
    <row r="876" spans="1:15" x14ac:dyDescent="0.4">
      <c r="A876" s="1" t="s">
        <v>2767</v>
      </c>
      <c r="B876" s="1" t="s">
        <v>2756</v>
      </c>
      <c r="C876" s="1" t="s">
        <v>2770</v>
      </c>
      <c r="D876" s="1" t="s">
        <v>2757</v>
      </c>
      <c r="E876" s="1" t="s">
        <v>4683</v>
      </c>
      <c r="F876" s="1" t="s">
        <v>14</v>
      </c>
      <c r="G876" s="4" t="str">
        <f>"08620"</f>
        <v>08620</v>
      </c>
      <c r="H876" s="1">
        <v>9</v>
      </c>
      <c r="I876" s="1">
        <v>2.9</v>
      </c>
      <c r="J876" s="1">
        <v>0</v>
      </c>
      <c r="K876" s="1">
        <v>37</v>
      </c>
      <c r="L876" s="1" t="s">
        <v>503</v>
      </c>
      <c r="M876" s="1" t="s">
        <v>2768</v>
      </c>
      <c r="N876" s="1" t="s">
        <v>12</v>
      </c>
      <c r="O876" s="1" t="s">
        <v>2769</v>
      </c>
    </row>
    <row r="877" spans="1:15" x14ac:dyDescent="0.4">
      <c r="A877" s="1" t="s">
        <v>1290</v>
      </c>
      <c r="B877" s="1" t="s">
        <v>1254</v>
      </c>
      <c r="C877" s="1" t="s">
        <v>1292</v>
      </c>
      <c r="D877" s="1" t="s">
        <v>1212</v>
      </c>
      <c r="E877" s="1" t="s">
        <v>1271</v>
      </c>
      <c r="F877" s="1" t="s">
        <v>14</v>
      </c>
      <c r="G877" s="4" t="str">
        <f>"08104"</f>
        <v>08104</v>
      </c>
      <c r="H877" s="1">
        <v>59</v>
      </c>
      <c r="I877" s="1">
        <v>19</v>
      </c>
      <c r="J877" s="1">
        <v>0</v>
      </c>
      <c r="K877" s="1">
        <v>44</v>
      </c>
      <c r="L877" s="1" t="s">
        <v>176</v>
      </c>
      <c r="M877" s="1" t="s">
        <v>550</v>
      </c>
      <c r="N877" s="1" t="s">
        <v>12</v>
      </c>
      <c r="O877" s="1" t="s">
        <v>1291</v>
      </c>
    </row>
    <row r="878" spans="1:15" x14ac:dyDescent="0.4">
      <c r="A878" s="1" t="s">
        <v>1330</v>
      </c>
      <c r="B878" s="1" t="s">
        <v>1312</v>
      </c>
      <c r="C878" s="1" t="s">
        <v>1333</v>
      </c>
      <c r="D878" s="1" t="s">
        <v>1313</v>
      </c>
      <c r="E878" s="1" t="s">
        <v>1271</v>
      </c>
      <c r="F878" s="1" t="s">
        <v>14</v>
      </c>
      <c r="G878" s="4" t="str">
        <f>"08108"</f>
        <v>08108</v>
      </c>
      <c r="H878" s="1">
        <v>20</v>
      </c>
      <c r="I878" s="1">
        <v>11.5</v>
      </c>
      <c r="J878" s="1">
        <v>0</v>
      </c>
      <c r="K878" s="1">
        <v>26</v>
      </c>
      <c r="L878" s="1" t="s">
        <v>989</v>
      </c>
      <c r="M878" s="1" t="s">
        <v>1331</v>
      </c>
      <c r="N878" s="1" t="s">
        <v>12</v>
      </c>
      <c r="O878" s="1" t="s">
        <v>1332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NJPubSchool April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Grace Reef</cp:lastModifiedBy>
  <dcterms:created xsi:type="dcterms:W3CDTF">2025-04-19T21:17:18Z</dcterms:created>
  <dcterms:modified xsi:type="dcterms:W3CDTF">2025-04-20T14:14:24Z</dcterms:modified>
</cp:coreProperties>
</file>