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ocuments\naccrra 2011\CED 2013\Coronavirus Emergency\New Jersey\2024-2025 CCANJ Planning\2025 Mapping\NJ DOE Data\"/>
    </mc:Choice>
  </mc:AlternateContent>
  <xr:revisionPtr revIDLastSave="0" documentId="13_ncr:1_{577F46D6-8835-4C41-B77D-B81EF6D812A2}" xr6:coauthVersionLast="47" xr6:coauthVersionMax="47" xr10:uidLastSave="{00000000-0000-0000-0000-000000000000}"/>
  <bookViews>
    <workbookView xWindow="60" yWindow="0" windowWidth="26271" windowHeight="15737" xr2:uid="{F894CCFC-7C85-45AB-9EB9-1439F8CA6802}"/>
  </bookViews>
  <sheets>
    <sheet name="NJPubSchool April 2025" sheetId="1" r:id="rId1"/>
  </sheets>
  <definedNames>
    <definedName name="_xlnm._FilterDatabase" localSheetId="0" hidden="1">'NJPubSchool April 2025'!$A$1:$O$1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5" i="1" l="1"/>
  <c r="G71" i="1"/>
  <c r="G249" i="1"/>
  <c r="G1451" i="1"/>
  <c r="G73" i="1"/>
  <c r="G74" i="1"/>
  <c r="G172" i="1"/>
  <c r="G173" i="1"/>
  <c r="G361" i="1"/>
  <c r="G404" i="1"/>
  <c r="G29" i="1"/>
  <c r="G273" i="1"/>
  <c r="G363" i="1"/>
  <c r="G405" i="1"/>
  <c r="G451" i="1"/>
  <c r="G495" i="1"/>
  <c r="G11" i="1"/>
  <c r="G213" i="1"/>
  <c r="G1096" i="1"/>
  <c r="G507" i="1"/>
  <c r="G568" i="1"/>
  <c r="G569" i="1"/>
  <c r="G1569" i="1"/>
  <c r="G99" i="1"/>
  <c r="G898" i="1"/>
  <c r="G440" i="1"/>
  <c r="G1631" i="1"/>
  <c r="G1035" i="1"/>
  <c r="G1084" i="1"/>
  <c r="G1198" i="1"/>
  <c r="G1575" i="1"/>
  <c r="G1206" i="1"/>
  <c r="G745" i="1"/>
  <c r="G1536" i="1"/>
  <c r="G169" i="1"/>
  <c r="G625" i="1"/>
  <c r="G44" i="1"/>
  <c r="G77" i="1"/>
  <c r="G98" i="1"/>
  <c r="G832" i="1"/>
  <c r="G1036" i="1"/>
  <c r="G57" i="1"/>
  <c r="G115" i="1"/>
  <c r="G116" i="1"/>
  <c r="G117" i="1"/>
  <c r="G118" i="1"/>
  <c r="G119" i="1"/>
  <c r="G120" i="1"/>
  <c r="G711" i="1"/>
  <c r="G1304" i="1"/>
  <c r="G138" i="1"/>
  <c r="G139" i="1"/>
  <c r="G601" i="1"/>
  <c r="G278" i="1"/>
  <c r="G1332" i="1"/>
  <c r="G1334" i="1"/>
  <c r="G1336" i="1"/>
  <c r="G626" i="1"/>
  <c r="G1449" i="1"/>
  <c r="G313" i="1"/>
  <c r="G314" i="1"/>
  <c r="G972" i="1"/>
  <c r="G342" i="1"/>
  <c r="G884" i="1"/>
  <c r="G370" i="1"/>
  <c r="G539" i="1"/>
  <c r="G643" i="1"/>
  <c r="G1361" i="1"/>
  <c r="G38" i="1"/>
  <c r="G841" i="1"/>
  <c r="G410" i="1"/>
  <c r="G496" i="1"/>
  <c r="G512" i="1"/>
  <c r="G956" i="1"/>
  <c r="G962" i="1"/>
  <c r="G420" i="1"/>
  <c r="G1150" i="1"/>
  <c r="G1526" i="1"/>
  <c r="G362" i="1"/>
  <c r="G364" i="1"/>
  <c r="G378" i="1"/>
  <c r="G708" i="1"/>
  <c r="G447" i="1"/>
  <c r="G597" i="1"/>
  <c r="G727" i="1"/>
  <c r="G885" i="1"/>
  <c r="G957" i="1"/>
  <c r="G1220" i="1"/>
  <c r="G1473" i="1"/>
  <c r="G1574" i="1"/>
  <c r="G842" i="1"/>
  <c r="G463" i="1"/>
  <c r="G828" i="1"/>
  <c r="G1351" i="1"/>
  <c r="G1352" i="1"/>
  <c r="G1353" i="1"/>
  <c r="G476" i="1"/>
  <c r="G1673" i="1"/>
  <c r="G497" i="1"/>
  <c r="G498" i="1"/>
  <c r="G1479" i="1"/>
  <c r="G36" i="1"/>
  <c r="G233" i="1"/>
  <c r="G266" i="1"/>
  <c r="G517" i="1"/>
  <c r="G518" i="1"/>
  <c r="G1249" i="1"/>
  <c r="G552" i="1"/>
  <c r="G553" i="1"/>
  <c r="G581" i="1"/>
  <c r="G582" i="1"/>
  <c r="G50" i="1"/>
  <c r="G504" i="1"/>
  <c r="G638" i="1"/>
  <c r="G824" i="1"/>
  <c r="G825" i="1"/>
  <c r="G955" i="1"/>
  <c r="G867" i="1"/>
  <c r="G1474" i="1"/>
  <c r="G299" i="1"/>
  <c r="G481" i="1"/>
  <c r="G718" i="1"/>
  <c r="G886" i="1"/>
  <c r="G887" i="1"/>
  <c r="G127" i="1"/>
  <c r="G761" i="1"/>
  <c r="G819" i="1"/>
  <c r="G896" i="1"/>
  <c r="G1226" i="1"/>
  <c r="G946" i="1"/>
  <c r="G611" i="1"/>
  <c r="G985" i="1"/>
  <c r="G453" i="1"/>
  <c r="G124" i="1"/>
  <c r="G327" i="1"/>
  <c r="G1051" i="1"/>
  <c r="G1469" i="1"/>
  <c r="G1542" i="1"/>
  <c r="G1080" i="1"/>
  <c r="G1082" i="1"/>
  <c r="G1083" i="1"/>
  <c r="G352" i="1"/>
  <c r="G593" i="1"/>
  <c r="G907" i="1"/>
  <c r="G1498" i="1"/>
  <c r="G1529" i="1"/>
  <c r="G240" i="1"/>
  <c r="G1112" i="1"/>
  <c r="G849" i="1"/>
  <c r="G1123" i="1"/>
  <c r="G382" i="1"/>
  <c r="G984" i="1"/>
  <c r="G1255" i="1"/>
  <c r="G1427" i="1"/>
  <c r="G1596" i="1"/>
  <c r="G381" i="1"/>
  <c r="G1127" i="1"/>
  <c r="G1608" i="1"/>
  <c r="G1133" i="1"/>
  <c r="G1134" i="1"/>
  <c r="G671" i="1"/>
  <c r="G1225" i="1"/>
  <c r="G429" i="1"/>
  <c r="G742" i="1"/>
  <c r="G1227" i="1"/>
  <c r="G540" i="1"/>
  <c r="G1258" i="1"/>
  <c r="G114" i="1"/>
  <c r="G1257" i="1"/>
  <c r="G1375" i="1"/>
  <c r="G110" i="1"/>
  <c r="G508" i="1"/>
  <c r="G586" i="1"/>
  <c r="G1116" i="1"/>
  <c r="G1253" i="1"/>
  <c r="G1260" i="1"/>
  <c r="G1385" i="1"/>
  <c r="G1501" i="1"/>
  <c r="G1624" i="1"/>
  <c r="G1263" i="1"/>
  <c r="G1264" i="1"/>
  <c r="G253" i="1"/>
  <c r="G639" i="1"/>
  <c r="G1274" i="1"/>
  <c r="G1674" i="1"/>
  <c r="G843" i="1"/>
  <c r="G1180" i="1"/>
  <c r="G1307" i="1"/>
  <c r="G1518" i="1"/>
  <c r="G482" i="1"/>
  <c r="G595" i="1"/>
  <c r="G1309" i="1"/>
  <c r="G1314" i="1"/>
  <c r="G868" i="1"/>
  <c r="G1010" i="1"/>
  <c r="G111" i="1"/>
  <c r="G706" i="1"/>
  <c r="G735" i="1"/>
  <c r="G1038" i="1"/>
  <c r="G1445" i="1"/>
  <c r="G1475" i="1"/>
  <c r="G686" i="1"/>
  <c r="G900" i="1"/>
  <c r="G1224" i="1"/>
  <c r="G1447" i="1"/>
  <c r="G1448" i="1"/>
  <c r="G1565" i="1"/>
  <c r="G399" i="1"/>
  <c r="G422" i="1"/>
  <c r="G1276" i="1"/>
  <c r="G312" i="1"/>
  <c r="G1552" i="1"/>
  <c r="G1553" i="1"/>
  <c r="G474" i="1"/>
  <c r="G709" i="1"/>
  <c r="G1557" i="1"/>
  <c r="G121" i="1"/>
  <c r="G166" i="1"/>
  <c r="G725" i="1"/>
  <c r="G1615" i="1"/>
  <c r="G1668" i="1"/>
  <c r="G1669" i="1"/>
  <c r="G1658" i="1"/>
  <c r="G9" i="1"/>
  <c r="G189" i="1"/>
  <c r="G376" i="1"/>
  <c r="G1371" i="1"/>
  <c r="G140" i="1"/>
  <c r="G141" i="1"/>
  <c r="G890" i="1"/>
  <c r="G176" i="1"/>
  <c r="G200" i="1"/>
  <c r="G1620" i="1"/>
  <c r="G178" i="1"/>
  <c r="G179" i="1"/>
  <c r="G177" i="1"/>
  <c r="G180" i="1"/>
  <c r="G181" i="1"/>
  <c r="G465" i="1"/>
  <c r="G256" i="1"/>
  <c r="G263" i="1"/>
  <c r="G264" i="1"/>
  <c r="G409" i="1"/>
  <c r="G1045" i="1"/>
  <c r="G888" i="1"/>
  <c r="G336" i="1"/>
  <c r="G337" i="1"/>
  <c r="G338" i="1"/>
  <c r="G989" i="1"/>
  <c r="G1318" i="1"/>
  <c r="G466" i="1"/>
  <c r="G467" i="1"/>
  <c r="G596" i="1"/>
  <c r="G685" i="1"/>
  <c r="G928" i="1"/>
  <c r="G929" i="1"/>
  <c r="G1275" i="1"/>
  <c r="G456" i="1"/>
  <c r="G250" i="1"/>
  <c r="G818" i="1"/>
  <c r="G1363" i="1"/>
  <c r="G1368" i="1"/>
  <c r="G137" i="1"/>
  <c r="G883" i="1"/>
  <c r="G908" i="1"/>
  <c r="G912" i="1"/>
  <c r="G943" i="1"/>
  <c r="G1223" i="1"/>
  <c r="G1040" i="1"/>
  <c r="G1065" i="1"/>
  <c r="G560" i="1"/>
  <c r="G502" i="1"/>
  <c r="G1011" i="1"/>
  <c r="G1012" i="1"/>
  <c r="G1401" i="1"/>
  <c r="G1626" i="1"/>
  <c r="G446" i="1"/>
  <c r="G511" i="1"/>
  <c r="G306" i="1"/>
  <c r="G579" i="1"/>
  <c r="G627" i="1"/>
  <c r="G1439" i="1"/>
  <c r="G1071" i="1"/>
  <c r="G1078" i="1"/>
  <c r="G1079" i="1"/>
  <c r="G243" i="1"/>
  <c r="G1124" i="1"/>
  <c r="G1125" i="1"/>
  <c r="G343" i="1"/>
  <c r="G594" i="1"/>
  <c r="G655" i="1"/>
  <c r="G756" i="1"/>
  <c r="G914" i="1"/>
  <c r="G1160" i="1"/>
  <c r="G1321" i="1"/>
  <c r="G1229" i="1"/>
  <c r="G1267" i="1"/>
  <c r="G1268" i="1"/>
  <c r="G1269" i="1"/>
  <c r="G1271" i="1"/>
  <c r="G672" i="1"/>
  <c r="G673" i="1"/>
  <c r="G1402" i="1"/>
  <c r="G1403" i="1"/>
  <c r="G1404" i="1"/>
  <c r="G1413" i="1"/>
  <c r="G769" i="1"/>
  <c r="G1612" i="1"/>
  <c r="G589" i="1"/>
  <c r="G693" i="1"/>
  <c r="G1509" i="1"/>
  <c r="G1551" i="1"/>
  <c r="G1641" i="1"/>
  <c r="G1642" i="1"/>
  <c r="G248" i="1"/>
  <c r="G75" i="1"/>
  <c r="G585" i="1"/>
  <c r="G909" i="1"/>
  <c r="G80" i="1"/>
  <c r="G1663" i="1"/>
  <c r="G100" i="1"/>
  <c r="G438" i="1"/>
  <c r="G373" i="1"/>
  <c r="G614" i="1"/>
  <c r="G1487" i="1"/>
  <c r="G1505" i="1"/>
  <c r="G191" i="1"/>
  <c r="G194" i="1"/>
  <c r="G310" i="1"/>
  <c r="G358" i="1"/>
  <c r="G392" i="1"/>
  <c r="G460" i="1"/>
  <c r="G599" i="1"/>
  <c r="G1014" i="1"/>
  <c r="G192" i="1"/>
  <c r="G193" i="1"/>
  <c r="G195" i="1"/>
  <c r="G5" i="1"/>
  <c r="G149" i="1"/>
  <c r="G251" i="1"/>
  <c r="G252" i="1"/>
  <c r="G265" i="1"/>
  <c r="G600" i="1"/>
  <c r="G652" i="1"/>
  <c r="G697" i="1"/>
  <c r="G702" i="1"/>
  <c r="G726" i="1"/>
  <c r="G750" i="1"/>
  <c r="G759" i="1"/>
  <c r="G775" i="1"/>
  <c r="G1251" i="1"/>
  <c r="G1294" i="1"/>
  <c r="G1482" i="1"/>
  <c r="G1659" i="1"/>
  <c r="G290" i="1"/>
  <c r="G291" i="1"/>
  <c r="G694" i="1"/>
  <c r="G922" i="1"/>
  <c r="G1636" i="1"/>
  <c r="G391" i="1"/>
  <c r="G524" i="1"/>
  <c r="G525" i="1"/>
  <c r="G132" i="1"/>
  <c r="G244" i="1"/>
  <c r="G519" i="1"/>
  <c r="G527" i="1"/>
  <c r="G707" i="1"/>
  <c r="G878" i="1"/>
  <c r="G1520" i="1"/>
  <c r="G70" i="1"/>
  <c r="G521" i="1"/>
  <c r="G556" i="1"/>
  <c r="G1365" i="1"/>
  <c r="G285" i="1"/>
  <c r="G557" i="1"/>
  <c r="G1429" i="1"/>
  <c r="G1430" i="1"/>
  <c r="G1463" i="1"/>
  <c r="G1535" i="1"/>
  <c r="G1630" i="1"/>
  <c r="G234" i="1"/>
  <c r="G412" i="1"/>
  <c r="G558" i="1"/>
  <c r="G559" i="1"/>
  <c r="G689" i="1"/>
  <c r="G779" i="1"/>
  <c r="G811" i="1"/>
  <c r="G853" i="1"/>
  <c r="G854" i="1"/>
  <c r="G855" i="1"/>
  <c r="G856" i="1"/>
  <c r="G939" i="1"/>
  <c r="G6" i="1"/>
  <c r="G333" i="1"/>
  <c r="G494" i="1"/>
  <c r="G501" i="1"/>
  <c r="G656" i="1"/>
  <c r="G1163" i="1"/>
  <c r="G1164" i="1"/>
  <c r="G1293" i="1"/>
  <c r="G1120" i="1"/>
  <c r="G1184" i="1"/>
  <c r="G536" i="1"/>
  <c r="G1380" i="1"/>
  <c r="G1419" i="1"/>
  <c r="G1129" i="1"/>
  <c r="G1320" i="1"/>
  <c r="G403" i="1"/>
  <c r="G1118" i="1"/>
  <c r="G1372" i="1"/>
  <c r="G1550" i="1"/>
  <c r="G68" i="1"/>
  <c r="G1585" i="1"/>
  <c r="G1647" i="1"/>
  <c r="G1648" i="1"/>
  <c r="G1649" i="1"/>
  <c r="G1650" i="1"/>
  <c r="G197" i="1"/>
  <c r="G198" i="1"/>
  <c r="G345" i="1"/>
  <c r="G881" i="1"/>
  <c r="G1250" i="1"/>
  <c r="G942" i="1"/>
  <c r="G1322" i="1"/>
  <c r="G976" i="1"/>
  <c r="G977" i="1"/>
  <c r="G978" i="1"/>
  <c r="G1098" i="1"/>
  <c r="G1099" i="1"/>
  <c r="G1421" i="1"/>
  <c r="G1527" i="1"/>
  <c r="G1528" i="1"/>
  <c r="G1597" i="1"/>
  <c r="G1622" i="1"/>
  <c r="G1623" i="1"/>
  <c r="G12" i="1"/>
  <c r="G19" i="1"/>
  <c r="G24" i="1"/>
  <c r="G72" i="1"/>
  <c r="G106" i="1"/>
  <c r="G108" i="1"/>
  <c r="G113" i="1"/>
  <c r="G155" i="1"/>
  <c r="G159" i="1"/>
  <c r="G175" i="1"/>
  <c r="G226" i="1"/>
  <c r="G245" i="1"/>
  <c r="G271" i="1"/>
  <c r="G287" i="1"/>
  <c r="G288" i="1"/>
  <c r="G289" i="1"/>
  <c r="G300" i="1"/>
  <c r="G311" i="1"/>
  <c r="G315" i="1"/>
  <c r="G351" i="1"/>
  <c r="G356" i="1"/>
  <c r="G388" i="1"/>
  <c r="G418" i="1"/>
  <c r="G427" i="1"/>
  <c r="G428" i="1"/>
  <c r="G464" i="1"/>
  <c r="G1454" i="1"/>
  <c r="G544" i="1"/>
  <c r="G584" i="1"/>
  <c r="G634" i="1"/>
  <c r="G635" i="1"/>
  <c r="G648" i="1"/>
  <c r="G649" i="1"/>
  <c r="G662" i="1"/>
  <c r="G677" i="1"/>
  <c r="G723" i="1"/>
  <c r="G724" i="1"/>
  <c r="G773" i="1"/>
  <c r="G816" i="1"/>
  <c r="G817" i="1"/>
  <c r="G857" i="1"/>
  <c r="G916" i="1"/>
  <c r="G947" i="1"/>
  <c r="G979" i="1"/>
  <c r="G997" i="1"/>
  <c r="G1050" i="1"/>
  <c r="G1075" i="1"/>
  <c r="G1097" i="1"/>
  <c r="G1121" i="1"/>
  <c r="G1136" i="1"/>
  <c r="G1144" i="1"/>
  <c r="G1145" i="1"/>
  <c r="G1153" i="1"/>
  <c r="G1168" i="1"/>
  <c r="G1175" i="1"/>
  <c r="G1207" i="1"/>
  <c r="G1209" i="1"/>
  <c r="G1212" i="1"/>
  <c r="G1252" i="1"/>
  <c r="G1266" i="1"/>
  <c r="G1284" i="1"/>
  <c r="G1300" i="1"/>
  <c r="G1377" i="1"/>
  <c r="G1436" i="1"/>
  <c r="G1443" i="1"/>
  <c r="G1444" i="1"/>
  <c r="G1452" i="1"/>
  <c r="G1455" i="1"/>
  <c r="G1457" i="1"/>
  <c r="G1465" i="1"/>
  <c r="G1504" i="1"/>
  <c r="G1514" i="1"/>
  <c r="G1521" i="1"/>
  <c r="G1522" i="1"/>
  <c r="G154" i="1"/>
  <c r="G160" i="1"/>
  <c r="G171" i="1"/>
  <c r="G254" i="1"/>
  <c r="G668" i="1"/>
  <c r="G1594" i="1"/>
  <c r="G320" i="1"/>
  <c r="G321" i="1"/>
  <c r="G641" i="1"/>
  <c r="G799" i="1"/>
  <c r="G996" i="1"/>
  <c r="G1023" i="1"/>
  <c r="G1219" i="1"/>
  <c r="G1261" i="1"/>
  <c r="G1373" i="1"/>
  <c r="G411" i="1"/>
  <c r="G1672" i="1"/>
  <c r="G53" i="1"/>
  <c r="G322" i="1"/>
  <c r="G367" i="1"/>
  <c r="G402" i="1"/>
  <c r="G523" i="1"/>
  <c r="G737" i="1"/>
  <c r="G917" i="1"/>
  <c r="G1156" i="1"/>
  <c r="G1366" i="1"/>
  <c r="G1379" i="1"/>
  <c r="G1484" i="1"/>
  <c r="G1540" i="1"/>
  <c r="G1545" i="1"/>
  <c r="G101" i="1"/>
  <c r="G102" i="1"/>
  <c r="G103" i="1"/>
  <c r="G104" i="1"/>
  <c r="G122" i="1"/>
  <c r="G134" i="1"/>
  <c r="G135" i="1"/>
  <c r="G162" i="1"/>
  <c r="G206" i="1"/>
  <c r="G341" i="1"/>
  <c r="G448" i="1"/>
  <c r="G1095" i="1"/>
  <c r="G1586" i="1"/>
  <c r="G551" i="1"/>
  <c r="G696" i="1"/>
  <c r="G712" i="1"/>
  <c r="G1645" i="1"/>
  <c r="G215" i="1"/>
  <c r="G958" i="1"/>
  <c r="G262" i="1"/>
  <c r="G387" i="1"/>
  <c r="G389" i="1"/>
  <c r="G738" i="1"/>
  <c r="G1149" i="1"/>
  <c r="G1378" i="1"/>
  <c r="G431" i="1"/>
  <c r="G432" i="1"/>
  <c r="G433" i="1"/>
  <c r="G434" i="1"/>
  <c r="G430" i="1"/>
  <c r="G435" i="1"/>
  <c r="G436" i="1"/>
  <c r="G1651" i="1"/>
  <c r="G235" i="1"/>
  <c r="G458" i="1"/>
  <c r="G516" i="1"/>
  <c r="G850" i="1"/>
  <c r="G1259" i="1"/>
  <c r="G238" i="1"/>
  <c r="G454" i="1"/>
  <c r="G683" i="1"/>
  <c r="G1510" i="1"/>
  <c r="G1524" i="1"/>
  <c r="G292" i="1"/>
  <c r="G574" i="1"/>
  <c r="G605" i="1"/>
  <c r="G628" i="1"/>
  <c r="G865" i="1"/>
  <c r="G1024" i="1"/>
  <c r="G1026" i="1"/>
  <c r="G1262" i="1"/>
  <c r="G332" i="1"/>
  <c r="G522" i="1"/>
  <c r="G580" i="1"/>
  <c r="G990" i="1"/>
  <c r="G991" i="1"/>
  <c r="G1678" i="1"/>
  <c r="G143" i="1"/>
  <c r="G184" i="1"/>
  <c r="G241" i="1"/>
  <c r="G395" i="1"/>
  <c r="G520" i="1"/>
  <c r="G629" i="1"/>
  <c r="G1005" i="1"/>
  <c r="G1077" i="1"/>
  <c r="G1245" i="1"/>
  <c r="G1582" i="1"/>
  <c r="G47" i="1"/>
  <c r="G51" i="1"/>
  <c r="G65" i="1"/>
  <c r="G82" i="1"/>
  <c r="G84" i="1"/>
  <c r="G170" i="1"/>
  <c r="G225" i="1"/>
  <c r="G380" i="1"/>
  <c r="G390" i="1"/>
  <c r="G587" i="1"/>
  <c r="G681" i="1"/>
  <c r="G734" i="1"/>
  <c r="G901" i="1"/>
  <c r="G1064" i="1"/>
  <c r="G1056" i="1"/>
  <c r="G1057" i="1"/>
  <c r="G1058" i="1"/>
  <c r="G1059" i="1"/>
  <c r="G1356" i="1"/>
  <c r="G1446" i="1"/>
  <c r="G1523" i="1"/>
  <c r="G1591" i="1"/>
  <c r="G1609" i="1"/>
  <c r="G1644" i="1"/>
  <c r="G529" i="1"/>
  <c r="G537" i="1"/>
  <c r="G736" i="1"/>
  <c r="G844" i="1"/>
  <c r="G1087" i="1"/>
  <c r="G1221" i="1"/>
  <c r="G1679" i="1"/>
  <c r="G220" i="1"/>
  <c r="G277" i="1"/>
  <c r="G835" i="1"/>
  <c r="G1114" i="1"/>
  <c r="G1115" i="1"/>
  <c r="G1296" i="1"/>
  <c r="G1417" i="1"/>
  <c r="G827" i="1"/>
  <c r="G282" i="1"/>
  <c r="G296" i="1"/>
  <c r="G335" i="1"/>
  <c r="G913" i="1"/>
  <c r="G930" i="1"/>
  <c r="G1364" i="1"/>
  <c r="G1393" i="1"/>
  <c r="G1394" i="1"/>
  <c r="G1508" i="1"/>
  <c r="G161" i="1"/>
  <c r="G459" i="1"/>
  <c r="G484" i="1"/>
  <c r="G598" i="1"/>
  <c r="G1538" i="1"/>
  <c r="G1601" i="1"/>
  <c r="G1602" i="1"/>
  <c r="G398" i="1"/>
  <c r="G549" i="1"/>
  <c r="G590" i="1"/>
  <c r="G768" i="1"/>
  <c r="G831" i="1"/>
  <c r="G1025" i="1"/>
  <c r="G1242" i="1"/>
  <c r="G1291" i="1"/>
  <c r="G1415" i="1"/>
  <c r="G1607" i="1"/>
  <c r="G272" i="1"/>
  <c r="G274" i="1"/>
  <c r="G275" i="1"/>
  <c r="G276" i="1"/>
  <c r="G339" i="1"/>
  <c r="G340" i="1"/>
  <c r="G346" i="1"/>
  <c r="G347" i="1"/>
  <c r="G528" i="1"/>
  <c r="G797" i="1"/>
  <c r="G1094" i="1"/>
  <c r="G1181" i="1"/>
  <c r="G1367" i="1"/>
  <c r="G721" i="1"/>
  <c r="G1319" i="1"/>
  <c r="G499" i="1"/>
  <c r="G353" i="1"/>
  <c r="G514" i="1"/>
  <c r="G1464" i="1"/>
  <c r="G526" i="1"/>
  <c r="G1041" i="1"/>
  <c r="G1197" i="1"/>
  <c r="G776" i="1"/>
  <c r="G777" i="1"/>
  <c r="G869" i="1"/>
  <c r="G870" i="1"/>
  <c r="G237" i="1"/>
  <c r="G1639" i="1"/>
  <c r="G1640" i="1"/>
  <c r="G879" i="1"/>
  <c r="G1157" i="1"/>
  <c r="G1158" i="1"/>
  <c r="G1192" i="1"/>
  <c r="G1193" i="1"/>
  <c r="G500" i="1"/>
  <c r="G530" i="1"/>
  <c r="G915" i="1"/>
  <c r="G1562" i="1"/>
  <c r="G204" i="1"/>
  <c r="G897" i="1"/>
  <c r="G936" i="1"/>
  <c r="G105" i="1"/>
  <c r="G129" i="1"/>
  <c r="G174" i="1"/>
  <c r="G257" i="1"/>
  <c r="G667" i="1"/>
  <c r="G1117" i="1"/>
  <c r="G1470" i="1"/>
  <c r="G1581" i="1"/>
  <c r="G1589" i="1"/>
  <c r="G1618" i="1"/>
  <c r="G1593" i="1"/>
  <c r="G1598" i="1"/>
  <c r="G1599" i="1"/>
  <c r="G1130" i="1"/>
  <c r="G1657" i="1"/>
  <c r="G89" i="1"/>
  <c r="G90" i="1"/>
  <c r="G386" i="1"/>
  <c r="G52" i="1"/>
  <c r="G563" i="1"/>
  <c r="G576" i="1"/>
  <c r="G1578" i="1"/>
  <c r="G636" i="1"/>
  <c r="G637" i="1"/>
  <c r="G752" i="1"/>
  <c r="G1467" i="1"/>
  <c r="G21" i="1"/>
  <c r="G23" i="1"/>
  <c r="G88" i="1"/>
  <c r="G307" i="1"/>
  <c r="G444" i="1"/>
  <c r="G609" i="1"/>
  <c r="G20" i="1"/>
  <c r="G357" i="1"/>
  <c r="G445" i="1"/>
  <c r="G478" i="1"/>
  <c r="G602" i="1"/>
  <c r="G675" i="1"/>
  <c r="G676" i="1"/>
  <c r="G698" i="1"/>
  <c r="G700" i="1"/>
  <c r="G753" i="1"/>
  <c r="G830" i="1"/>
  <c r="G836" i="1"/>
  <c r="G975" i="1"/>
  <c r="G1244" i="1"/>
  <c r="G1634" i="1"/>
  <c r="G767" i="1"/>
  <c r="G837" i="1"/>
  <c r="G653" i="1"/>
  <c r="G1068" i="1"/>
  <c r="G1202" i="1"/>
  <c r="G1277" i="1"/>
  <c r="G269" i="1"/>
  <c r="G661" i="1"/>
  <c r="G1359" i="1"/>
  <c r="G1360" i="1"/>
  <c r="G286" i="1"/>
  <c r="G421" i="1"/>
  <c r="G713" i="1"/>
  <c r="G746" i="1"/>
  <c r="G1324" i="1"/>
  <c r="G1511" i="1"/>
  <c r="G1517" i="1"/>
  <c r="G1458" i="1"/>
  <c r="G1590" i="1"/>
  <c r="G28" i="1"/>
  <c r="G577" i="1"/>
  <c r="G953" i="1"/>
  <c r="G1214" i="1"/>
  <c r="G1215" i="1"/>
  <c r="G1216" i="1"/>
  <c r="G1217" i="1"/>
  <c r="G1606" i="1"/>
  <c r="G437" i="1"/>
  <c r="G284" i="1"/>
  <c r="G1151" i="1"/>
  <c r="G1302" i="1"/>
  <c r="G334" i="1"/>
  <c r="G690" i="1"/>
  <c r="G1238" i="1"/>
  <c r="G606" i="1"/>
  <c r="G663" i="1"/>
  <c r="G664" i="1"/>
  <c r="G3" i="1"/>
  <c r="G665" i="1"/>
  <c r="G1530" i="1"/>
  <c r="G1661" i="1"/>
  <c r="G1072" i="1"/>
  <c r="G1549" i="1"/>
  <c r="G640" i="1"/>
  <c r="G1239" i="1"/>
  <c r="G1392" i="1"/>
  <c r="G1110" i="1"/>
  <c r="G1519" i="1"/>
  <c r="G950" i="1"/>
  <c r="G951" i="1"/>
  <c r="G966" i="1"/>
  <c r="G967" i="1"/>
  <c r="G968" i="1"/>
  <c r="G439" i="1"/>
  <c r="G534" i="1"/>
  <c r="G615" i="1"/>
  <c r="G952" i="1"/>
  <c r="G1171" i="1"/>
  <c r="G1561" i="1"/>
  <c r="G443" i="1"/>
  <c r="G468" i="1"/>
  <c r="G513" i="1"/>
  <c r="G26" i="1"/>
  <c r="G32" i="1"/>
  <c r="G423" i="1"/>
  <c r="G503" i="1"/>
  <c r="G548" i="1"/>
  <c r="G562" i="1"/>
  <c r="G564" i="1"/>
  <c r="G566" i="1"/>
  <c r="G780" i="1"/>
  <c r="G782" i="1"/>
  <c r="G787" i="1"/>
  <c r="G804" i="1"/>
  <c r="G808" i="1"/>
  <c r="G948" i="1"/>
  <c r="G971" i="1"/>
  <c r="G1013" i="1"/>
  <c r="G1248" i="1"/>
  <c r="G1287" i="1"/>
  <c r="G1325" i="1"/>
  <c r="G1433" i="1"/>
  <c r="G1680" i="1"/>
  <c r="G651" i="1"/>
  <c r="G1423" i="1"/>
  <c r="G1488" i="1"/>
  <c r="G1491" i="1"/>
  <c r="G813" i="1"/>
  <c r="G814" i="1"/>
  <c r="G918" i="1"/>
  <c r="G919" i="1"/>
  <c r="G969" i="1"/>
  <c r="G970" i="1"/>
  <c r="G861" i="1"/>
  <c r="G1210" i="1"/>
  <c r="G1211" i="1"/>
  <c r="G1270" i="1"/>
  <c r="G1273" i="1"/>
  <c r="G61" i="1"/>
  <c r="G86" i="1"/>
  <c r="G109" i="1"/>
  <c r="G188" i="1"/>
  <c r="G199" i="1"/>
  <c r="G205" i="1"/>
  <c r="G267" i="1"/>
  <c r="G325" i="1"/>
  <c r="G359" i="1"/>
  <c r="G365" i="1"/>
  <c r="G510" i="1"/>
  <c r="G532" i="1"/>
  <c r="G542" i="1"/>
  <c r="G592" i="1"/>
  <c r="G757" i="1"/>
  <c r="G760" i="1"/>
  <c r="G882" i="1"/>
  <c r="G1152" i="1"/>
  <c r="G1154" i="1"/>
  <c r="G1472" i="1"/>
  <c r="G1502" i="1"/>
  <c r="G1503" i="1"/>
  <c r="G1632" i="1"/>
  <c r="G301" i="1"/>
  <c r="G372" i="1"/>
  <c r="G691" i="1"/>
  <c r="G993" i="1"/>
  <c r="G1483" i="1"/>
  <c r="G1543" i="1"/>
  <c r="G1610" i="1"/>
  <c r="G1611" i="1"/>
  <c r="G207" i="1"/>
  <c r="G208" i="1"/>
  <c r="G209" i="1"/>
  <c r="G371" i="1"/>
  <c r="G838" i="1"/>
  <c r="G221" i="1"/>
  <c r="G261" i="1"/>
  <c r="G383" i="1"/>
  <c r="G567" i="1"/>
  <c r="G812" i="1"/>
  <c r="G1567" i="1"/>
  <c r="G397" i="1"/>
  <c r="G603" i="1"/>
  <c r="G703" i="1"/>
  <c r="G704" i="1"/>
  <c r="G705" i="1"/>
  <c r="G728" i="1"/>
  <c r="G740" i="1"/>
  <c r="G741" i="1"/>
  <c r="G852" i="1"/>
  <c r="G934" i="1"/>
  <c r="G964" i="1"/>
  <c r="G1476" i="1"/>
  <c r="G1656" i="1"/>
  <c r="G1670" i="1"/>
  <c r="G492" i="1"/>
  <c r="G1088" i="1"/>
  <c r="G1190" i="1"/>
  <c r="G85" i="1"/>
  <c r="G612" i="1"/>
  <c r="G613" i="1"/>
  <c r="G533" i="1"/>
  <c r="G196" i="1"/>
  <c r="G394" i="1"/>
  <c r="G973" i="1"/>
  <c r="G980" i="1"/>
  <c r="G1128" i="1"/>
  <c r="G1548" i="1"/>
  <c r="G1583" i="1"/>
  <c r="G1662" i="1"/>
  <c r="G384" i="1"/>
  <c r="G396" i="1"/>
  <c r="G1173" i="1"/>
  <c r="G1189" i="1"/>
  <c r="G1653" i="1"/>
  <c r="G762" i="1"/>
  <c r="G56" i="1"/>
  <c r="G167" i="1"/>
  <c r="G988" i="1"/>
  <c r="G1003" i="1"/>
  <c r="G1004" i="1"/>
  <c r="G1092" i="1"/>
  <c r="G1664" i="1"/>
  <c r="G133" i="1"/>
  <c r="G864" i="1"/>
  <c r="G1046" i="1"/>
  <c r="G1047" i="1"/>
  <c r="G1048" i="1"/>
  <c r="G1148" i="1"/>
  <c r="G858" i="1"/>
  <c r="G1069" i="1"/>
  <c r="G1070" i="1"/>
  <c r="G25" i="1"/>
  <c r="G202" i="1"/>
  <c r="G695" i="1"/>
  <c r="G743" i="1"/>
  <c r="G826" i="1"/>
  <c r="G889" i="1"/>
  <c r="G894" i="1"/>
  <c r="G1108" i="1"/>
  <c r="G1236" i="1"/>
  <c r="G1547" i="1"/>
  <c r="G1563" i="1"/>
  <c r="G1625" i="1"/>
  <c r="G54" i="1"/>
  <c r="G369" i="1"/>
  <c r="G401" i="1"/>
  <c r="G604" i="1"/>
  <c r="G701" i="1"/>
  <c r="G1172" i="1"/>
  <c r="G1282" i="1"/>
  <c r="G1297" i="1"/>
  <c r="G1317" i="1"/>
  <c r="G1629" i="1"/>
  <c r="G59" i="1"/>
  <c r="G303" i="1"/>
  <c r="G374" i="1"/>
  <c r="G538" i="1"/>
  <c r="G783" i="1"/>
  <c r="G935" i="1"/>
  <c r="G1191" i="1"/>
  <c r="G1218" i="1"/>
  <c r="G1233" i="1"/>
  <c r="G1460" i="1"/>
  <c r="G375" i="1"/>
  <c r="G424" i="1"/>
  <c r="G578" i="1"/>
  <c r="G1316" i="1"/>
  <c r="G1326" i="1"/>
  <c r="G1327" i="1"/>
  <c r="G1390" i="1"/>
  <c r="G165" i="1"/>
  <c r="G190" i="1"/>
  <c r="G317" i="1"/>
  <c r="G318" i="1"/>
  <c r="G669" i="1"/>
  <c r="G1391" i="1"/>
  <c r="G541" i="1"/>
  <c r="G730" i="1"/>
  <c r="G1395" i="1"/>
  <c r="G1396" i="1"/>
  <c r="G1397" i="1"/>
  <c r="G1398" i="1"/>
  <c r="G1399" i="1"/>
  <c r="G379" i="1"/>
  <c r="G1410" i="1"/>
  <c r="G1411" i="1"/>
  <c r="G78" i="1"/>
  <c r="G79" i="1"/>
  <c r="G268" i="1"/>
  <c r="G293" i="1"/>
  <c r="G294" i="1"/>
  <c r="G457" i="1"/>
  <c r="G674" i="1"/>
  <c r="G684" i="1"/>
  <c r="G732" i="1"/>
  <c r="G793" i="1"/>
  <c r="G944" i="1"/>
  <c r="G965" i="1"/>
  <c r="G1089" i="1"/>
  <c r="G1093" i="1"/>
  <c r="G1167" i="1"/>
  <c r="G1205" i="1"/>
  <c r="G1279" i="1"/>
  <c r="G1301" i="1"/>
  <c r="G1652" i="1"/>
  <c r="G1654" i="1"/>
  <c r="G1655" i="1"/>
  <c r="G66" i="1"/>
  <c r="G144" i="1"/>
  <c r="G366" i="1"/>
  <c r="G81" i="1"/>
  <c r="G1456" i="1"/>
  <c r="G158" i="1"/>
  <c r="G214" i="1"/>
  <c r="G304" i="1"/>
  <c r="G328" i="1"/>
  <c r="G959" i="1"/>
  <c r="G785" i="1"/>
  <c r="G1546" i="1"/>
  <c r="G487" i="1"/>
  <c r="G295" i="1"/>
  <c r="G486" i="1"/>
  <c r="G488" i="1"/>
  <c r="G657" i="1"/>
  <c r="G902" i="1"/>
  <c r="G925" i="1"/>
  <c r="G187" i="1"/>
  <c r="G281" i="1"/>
  <c r="G377" i="1"/>
  <c r="G754" i="1"/>
  <c r="G810" i="1"/>
  <c r="G932" i="1"/>
  <c r="G97" i="1"/>
  <c r="G308" i="1"/>
  <c r="G591" i="1"/>
  <c r="G833" i="1"/>
  <c r="G974" i="1"/>
  <c r="G1234" i="1"/>
  <c r="G1235" i="1"/>
  <c r="G642" i="1"/>
  <c r="G670" i="1"/>
  <c r="G1637" i="1"/>
  <c r="G30" i="1"/>
  <c r="G60" i="1"/>
  <c r="G400" i="1"/>
  <c r="G546" i="1"/>
  <c r="G658" i="1"/>
  <c r="G659" i="1"/>
  <c r="G806" i="1"/>
  <c r="G1228" i="1"/>
  <c r="G1441" i="1"/>
  <c r="G749" i="1"/>
  <c r="G755" i="1"/>
  <c r="G766" i="1"/>
  <c r="G770" i="1"/>
  <c r="G4" i="1"/>
  <c r="G506" i="1"/>
  <c r="G550" i="1"/>
  <c r="G872" i="1"/>
  <c r="G873" i="1"/>
  <c r="G923" i="1"/>
  <c r="G1201" i="1"/>
  <c r="G270" i="1"/>
  <c r="G794" i="1"/>
  <c r="G903" i="1"/>
  <c r="G987" i="1"/>
  <c r="G1183" i="1"/>
  <c r="G1442" i="1"/>
  <c r="G1592" i="1"/>
  <c r="G904" i="1"/>
  <c r="G67" i="1"/>
  <c r="G470" i="1"/>
  <c r="G472" i="1"/>
  <c r="G924" i="1"/>
  <c r="G926" i="1"/>
  <c r="G927" i="1"/>
  <c r="G1286" i="1"/>
  <c r="G866" i="1"/>
  <c r="G940" i="1"/>
  <c r="G941" i="1"/>
  <c r="G91" i="1"/>
  <c r="G92" i="1"/>
  <c r="G449" i="1"/>
  <c r="G823" i="1"/>
  <c r="G848" i="1"/>
  <c r="G981" i="1"/>
  <c r="G982" i="1"/>
  <c r="G983" i="1"/>
  <c r="G1039" i="1"/>
  <c r="G1052" i="1"/>
  <c r="G1086" i="1"/>
  <c r="G1265" i="1"/>
  <c r="G1485" i="1"/>
  <c r="G1486" i="1"/>
  <c r="G994" i="1"/>
  <c r="G995" i="1"/>
  <c r="G22" i="1"/>
  <c r="G128" i="1"/>
  <c r="G298" i="1"/>
  <c r="G610" i="1"/>
  <c r="G920" i="1"/>
  <c r="G999" i="1"/>
  <c r="G1000" i="1"/>
  <c r="G1001" i="1"/>
  <c r="G1002" i="1"/>
  <c r="G1243" i="1"/>
  <c r="G1043" i="1"/>
  <c r="G1044" i="1"/>
  <c r="G911" i="1"/>
  <c r="G1240" i="1"/>
  <c r="G1241" i="1"/>
  <c r="G1292" i="1"/>
  <c r="G329" i="1"/>
  <c r="G462" i="1"/>
  <c r="G1305" i="1"/>
  <c r="G1358" i="1"/>
  <c r="G1370" i="1"/>
  <c r="G1412" i="1"/>
  <c r="G1438" i="1"/>
  <c r="G1490" i="1"/>
  <c r="G1105" i="1"/>
  <c r="G1500" i="1"/>
  <c r="G41" i="1"/>
  <c r="G1422" i="1"/>
  <c r="G42" i="1"/>
  <c r="G222" i="1"/>
  <c r="G1109" i="1"/>
  <c r="G1554" i="1"/>
  <c r="G1555" i="1"/>
  <c r="G1556" i="1"/>
  <c r="G1595" i="1"/>
  <c r="G469" i="1"/>
  <c r="G7" i="1"/>
  <c r="G183" i="1"/>
  <c r="G1247" i="1"/>
  <c r="G131" i="1"/>
  <c r="G146" i="1"/>
  <c r="G801" i="1"/>
  <c r="G1272" i="1"/>
  <c r="G1533" i="1"/>
  <c r="G354" i="1"/>
  <c r="G355" i="1"/>
  <c r="G223" i="1"/>
  <c r="G385" i="1"/>
  <c r="G471" i="1"/>
  <c r="G230" i="1"/>
  <c r="G151" i="1"/>
  <c r="G163" i="1"/>
  <c r="G1256" i="1"/>
  <c r="G570" i="1"/>
  <c r="G1616" i="1"/>
  <c r="G954" i="1"/>
  <c r="G1033" i="1"/>
  <c r="G1311" i="1"/>
  <c r="G571" i="1"/>
  <c r="G64" i="1"/>
  <c r="G719" i="1"/>
  <c r="G720" i="1"/>
  <c r="G1617" i="1"/>
  <c r="G771" i="1"/>
  <c r="G778" i="1"/>
  <c r="G1159" i="1"/>
  <c r="G1428" i="1"/>
  <c r="G840" i="1"/>
  <c r="G227" i="1"/>
  <c r="G992" i="1"/>
  <c r="G774" i="1"/>
  <c r="G892" i="1"/>
  <c r="G893" i="1"/>
  <c r="G1499" i="1"/>
  <c r="G1031" i="1"/>
  <c r="G963" i="1"/>
  <c r="G216" i="1"/>
  <c r="G620" i="1"/>
  <c r="G1009" i="1"/>
  <c r="G1283" i="1"/>
  <c r="G1531" i="1"/>
  <c r="G1635" i="1"/>
  <c r="G1667" i="1"/>
  <c r="G14" i="1"/>
  <c r="G16" i="1"/>
  <c r="G17" i="1"/>
  <c r="G69" i="1"/>
  <c r="G1015" i="1"/>
  <c r="G1016" i="1"/>
  <c r="G1017" i="1"/>
  <c r="G1018" i="1"/>
  <c r="G33" i="1"/>
  <c r="G39" i="1"/>
  <c r="G489" i="1"/>
  <c r="G618" i="1"/>
  <c r="G1019" i="1"/>
  <c r="G1067" i="1"/>
  <c r="G1478" i="1"/>
  <c r="G1665" i="1"/>
  <c r="G1020" i="1"/>
  <c r="G255" i="1"/>
  <c r="G1021" i="1"/>
  <c r="G1022" i="1"/>
  <c r="G1030" i="1"/>
  <c r="G1323" i="1"/>
  <c r="G1489" i="1"/>
  <c r="G150" i="1"/>
  <c r="G1028" i="1"/>
  <c r="G1621" i="1"/>
  <c r="G164" i="1"/>
  <c r="G228" i="1"/>
  <c r="G679" i="1"/>
  <c r="G784" i="1"/>
  <c r="G795" i="1"/>
  <c r="G862" i="1"/>
  <c r="G1027" i="1"/>
  <c r="G1085" i="1"/>
  <c r="G1131" i="1"/>
  <c r="G1132" i="1"/>
  <c r="G1288" i="1"/>
  <c r="G1506" i="1"/>
  <c r="G633" i="1"/>
  <c r="G1169" i="1"/>
  <c r="G1170" i="1"/>
  <c r="G1418" i="1"/>
  <c r="G450" i="1"/>
  <c r="G682" i="1"/>
  <c r="G1231" i="1"/>
  <c r="G1232" i="1"/>
  <c r="G1369" i="1"/>
  <c r="G1477" i="1"/>
  <c r="G130" i="1"/>
  <c r="G210" i="1"/>
  <c r="G305" i="1"/>
  <c r="G344" i="1"/>
  <c r="G764" i="1"/>
  <c r="G1424" i="1"/>
  <c r="G407" i="1"/>
  <c r="G714" i="1"/>
  <c r="G846" i="1"/>
  <c r="G1303" i="1"/>
  <c r="G246" i="1"/>
  <c r="G247" i="1"/>
  <c r="G790" i="1"/>
  <c r="G1405" i="1"/>
  <c r="G1576" i="1"/>
  <c r="G875" i="1"/>
  <c r="G1604" i="1"/>
  <c r="G1605" i="1"/>
  <c r="G37" i="1"/>
  <c r="G83" i="1"/>
  <c r="G211" i="1"/>
  <c r="G758" i="1"/>
  <c r="G1278" i="1"/>
  <c r="G1306" i="1"/>
  <c r="G87" i="1"/>
  <c r="G93" i="1"/>
  <c r="G123" i="1"/>
  <c r="G152" i="1"/>
  <c r="G153" i="1"/>
  <c r="G368" i="1"/>
  <c r="G426" i="1"/>
  <c r="G796" i="1"/>
  <c r="G807" i="1"/>
  <c r="G986" i="1"/>
  <c r="G1119" i="1"/>
  <c r="G1539" i="1"/>
  <c r="G1541" i="1"/>
  <c r="G231" i="1"/>
  <c r="G232" i="1"/>
  <c r="G203" i="1"/>
  <c r="G258" i="1"/>
  <c r="G692" i="1"/>
  <c r="G212" i="1"/>
  <c r="G461" i="1"/>
  <c r="G788" i="1"/>
  <c r="G789" i="1"/>
  <c r="G809" i="1"/>
  <c r="G279" i="1"/>
  <c r="G414" i="1"/>
  <c r="G802" i="1"/>
  <c r="G803" i="1"/>
  <c r="G1090" i="1"/>
  <c r="G1414" i="1"/>
  <c r="G491" i="1"/>
  <c r="G505" i="1"/>
  <c r="G871" i="1"/>
  <c r="G905" i="1"/>
  <c r="G906" i="1"/>
  <c r="G921" i="1"/>
  <c r="G1106" i="1"/>
  <c r="G1100" i="1"/>
  <c r="G1101" i="1"/>
  <c r="G1102" i="1"/>
  <c r="G1103" i="1"/>
  <c r="G483" i="1"/>
  <c r="G1185" i="1"/>
  <c r="G1186" i="1"/>
  <c r="G360" i="1"/>
  <c r="G1049" i="1"/>
  <c r="G493" i="1"/>
  <c r="G1199" i="1"/>
  <c r="G960" i="1"/>
  <c r="G1042" i="1"/>
  <c r="G1104" i="1"/>
  <c r="G1200" i="1"/>
  <c r="G1406" i="1"/>
  <c r="G1407" i="1"/>
  <c r="G949" i="1"/>
  <c r="G1416" i="1"/>
  <c r="G94" i="1"/>
  <c r="G644" i="1"/>
  <c r="G747" i="1"/>
  <c r="G1182" i="1"/>
  <c r="G1400" i="1"/>
  <c r="G1492" i="1"/>
  <c r="G1493" i="1"/>
  <c r="G1494" i="1"/>
  <c r="G1495" i="1"/>
  <c r="G1496" i="1"/>
  <c r="G1497" i="1"/>
  <c r="G1560" i="1"/>
  <c r="G1580" i="1"/>
  <c r="G1600" i="1"/>
  <c r="G1566" i="1"/>
  <c r="G259" i="1"/>
  <c r="G280" i="1"/>
  <c r="G1328" i="1"/>
  <c r="G1329" i="1"/>
  <c r="G1330" i="1"/>
  <c r="G1331" i="1"/>
  <c r="G1333" i="1"/>
  <c r="G1335" i="1"/>
  <c r="G1337" i="1"/>
  <c r="G1338" i="1"/>
  <c r="G1671" i="1"/>
  <c r="G588" i="1"/>
  <c r="G839" i="1"/>
  <c r="G1471" i="1"/>
  <c r="G798" i="1"/>
  <c r="G859" i="1"/>
  <c r="G860" i="1"/>
  <c r="G607" i="1"/>
  <c r="G647" i="1"/>
  <c r="G323" i="1"/>
  <c r="G415" i="1"/>
  <c r="G895" i="1"/>
  <c r="G1034" i="1"/>
  <c r="G1135" i="1"/>
  <c r="G1140" i="1"/>
  <c r="G1141" i="1"/>
  <c r="G1142" i="1"/>
  <c r="G1388" i="1"/>
  <c r="G1459" i="1"/>
  <c r="G1480" i="1"/>
  <c r="G1628" i="1"/>
  <c r="G1139" i="1"/>
  <c r="G1137" i="1"/>
  <c r="G1138" i="1"/>
  <c r="G1143" i="1"/>
  <c r="G34" i="1"/>
  <c r="G46" i="1"/>
  <c r="G393" i="1"/>
  <c r="G678" i="1"/>
  <c r="G731" i="1"/>
  <c r="G748" i="1"/>
  <c r="G1055" i="1"/>
  <c r="G1060" i="1"/>
  <c r="G1066" i="1"/>
  <c r="G1146" i="1"/>
  <c r="G1147" i="1"/>
  <c r="G1246" i="1"/>
  <c r="G1285" i="1"/>
  <c r="G1295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62" i="1"/>
  <c r="G1431" i="1"/>
  <c r="G1681" i="1"/>
  <c r="G800" i="1"/>
  <c r="G821" i="1"/>
  <c r="G845" i="1"/>
  <c r="G1203" i="1"/>
  <c r="G1213" i="1"/>
  <c r="G408" i="1"/>
  <c r="G933" i="1"/>
  <c r="G1174" i="1"/>
  <c r="G1579" i="1"/>
  <c r="G583" i="1"/>
  <c r="G27" i="1"/>
  <c r="G55" i="1"/>
  <c r="G509" i="1"/>
  <c r="G699" i="1"/>
  <c r="G791" i="1"/>
  <c r="G1122" i="1"/>
  <c r="G1187" i="1"/>
  <c r="G1230" i="1"/>
  <c r="G1308" i="1"/>
  <c r="G1355" i="1"/>
  <c r="G1461" i="1"/>
  <c r="G1587" i="1"/>
  <c r="G1588" i="1"/>
  <c r="G58" i="1"/>
  <c r="G891" i="1"/>
  <c r="G931" i="1"/>
  <c r="G1126" i="1"/>
  <c r="G1525" i="1"/>
  <c r="G1603" i="1"/>
  <c r="G95" i="1"/>
  <c r="G961" i="1"/>
  <c r="G417" i="1"/>
  <c r="G452" i="1"/>
  <c r="G1155" i="1"/>
  <c r="G1161" i="1"/>
  <c r="G1162" i="1"/>
  <c r="G229" i="1"/>
  <c r="G1165" i="1"/>
  <c r="G1166" i="1"/>
  <c r="G63" i="1"/>
  <c r="G416" i="1"/>
  <c r="G1111" i="1"/>
  <c r="G1194" i="1"/>
  <c r="G1312" i="1"/>
  <c r="G1313" i="1"/>
  <c r="G319" i="1"/>
  <c r="G324" i="1"/>
  <c r="G1310" i="1"/>
  <c r="G938" i="1"/>
  <c r="G1675" i="1"/>
  <c r="G1676" i="1"/>
  <c r="G217" i="1"/>
  <c r="G829" i="1"/>
  <c r="G1091" i="1"/>
  <c r="G1254" i="1"/>
  <c r="G1627" i="1"/>
  <c r="G142" i="1"/>
  <c r="G302" i="1"/>
  <c r="G792" i="1"/>
  <c r="G1376" i="1"/>
  <c r="G147" i="1"/>
  <c r="G1425" i="1"/>
  <c r="G1619" i="1"/>
  <c r="G145" i="1"/>
  <c r="G156" i="1"/>
  <c r="G157" i="1"/>
  <c r="G316" i="1"/>
  <c r="G406" i="1"/>
  <c r="G565" i="1"/>
  <c r="G632" i="1"/>
  <c r="G733" i="1"/>
  <c r="G1534" i="1"/>
  <c r="G477" i="1"/>
  <c r="G479" i="1"/>
  <c r="G480" i="1"/>
  <c r="G619" i="1"/>
  <c r="G545" i="1"/>
  <c r="G48" i="1"/>
  <c r="G76" i="1"/>
  <c r="G621" i="1"/>
  <c r="G622" i="1"/>
  <c r="G623" i="1"/>
  <c r="G1434" i="1"/>
  <c r="G1660" i="1"/>
  <c r="G31" i="1"/>
  <c r="G910" i="1"/>
  <c r="G1006" i="1"/>
  <c r="G1007" i="1"/>
  <c r="G1008" i="1"/>
  <c r="G1544" i="1"/>
  <c r="G1073" i="1"/>
  <c r="G1074" i="1"/>
  <c r="G1383" i="1"/>
  <c r="G1426" i="1"/>
  <c r="G1382" i="1"/>
  <c r="G1384" i="1"/>
  <c r="G1453" i="1"/>
  <c r="G1381" i="1"/>
  <c r="G125" i="1"/>
  <c r="G126" i="1"/>
  <c r="G1386" i="1"/>
  <c r="G1387" i="1"/>
  <c r="G1280" i="1"/>
  <c r="G49" i="1"/>
  <c r="G236" i="1"/>
  <c r="G1573" i="1"/>
  <c r="G1666" i="1"/>
  <c r="G1532" i="1"/>
  <c r="G1584" i="1"/>
  <c r="G874" i="1"/>
  <c r="G185" i="1"/>
  <c r="G186" i="1"/>
  <c r="G475" i="1"/>
  <c r="G572" i="1"/>
  <c r="G608" i="1"/>
  <c r="G645" i="1"/>
  <c r="G646" i="1"/>
  <c r="G1507" i="1"/>
  <c r="G781" i="1"/>
  <c r="G820" i="1"/>
  <c r="G561" i="1"/>
  <c r="G1061" i="1"/>
  <c r="G45" i="1"/>
  <c r="G998" i="1"/>
  <c r="G1408" i="1"/>
  <c r="G1409" i="1"/>
  <c r="G1081" i="1"/>
  <c r="G1435" i="1"/>
  <c r="G1437" i="1"/>
  <c r="G218" i="1"/>
  <c r="G515" i="1"/>
  <c r="G880" i="1"/>
  <c r="G1289" i="1"/>
  <c r="G1537" i="1"/>
  <c r="G1558" i="1"/>
  <c r="G297" i="1"/>
  <c r="G531" i="1"/>
  <c r="G937" i="1"/>
  <c r="G1029" i="1"/>
  <c r="G1481" i="1"/>
  <c r="G1638" i="1"/>
  <c r="G62" i="1"/>
  <c r="G201" i="1"/>
  <c r="G473" i="1"/>
  <c r="G136" i="1"/>
  <c r="G168" i="1"/>
  <c r="G309" i="1"/>
  <c r="G624" i="1"/>
  <c r="G863" i="1"/>
  <c r="G1113" i="1"/>
  <c r="G1559" i="1"/>
  <c r="G10" i="1"/>
  <c r="G2" i="1"/>
  <c r="G35" i="1"/>
  <c r="G112" i="1"/>
  <c r="G260" i="1"/>
  <c r="G413" i="1"/>
  <c r="G688" i="1"/>
  <c r="G722" i="1"/>
  <c r="G729" i="1"/>
  <c r="G739" i="1"/>
  <c r="G763" i="1"/>
  <c r="G1062" i="1"/>
  <c r="G1063" i="1"/>
  <c r="G1281" i="1"/>
  <c r="G1389" i="1"/>
  <c r="G1462" i="1"/>
  <c r="G1468" i="1"/>
  <c r="G680" i="1"/>
  <c r="G834" i="1"/>
  <c r="G330" i="1"/>
  <c r="G630" i="1"/>
  <c r="G631" i="1"/>
  <c r="G666" i="1"/>
  <c r="G1107" i="1"/>
  <c r="G1564" i="1"/>
  <c r="G326" i="1"/>
  <c r="G1570" i="1"/>
  <c r="G751" i="1"/>
  <c r="G851" i="1"/>
  <c r="G1037" i="1"/>
  <c r="G348" i="1"/>
  <c r="G349" i="1"/>
  <c r="G96" i="1"/>
  <c r="G331" i="1"/>
  <c r="G1053" i="1"/>
  <c r="G1054" i="1"/>
  <c r="G1315" i="1"/>
  <c r="G219" i="1"/>
  <c r="G242" i="1"/>
  <c r="G239" i="1"/>
  <c r="G283" i="1"/>
  <c r="G350" i="1"/>
  <c r="G419" i="1"/>
  <c r="G441" i="1"/>
  <c r="G485" i="1"/>
  <c r="G660" i="1"/>
  <c r="G715" i="1"/>
  <c r="G945" i="1"/>
  <c r="G1188" i="1"/>
  <c r="G1195" i="1"/>
  <c r="G1196" i="1"/>
  <c r="G1222" i="1"/>
  <c r="G1298" i="1"/>
  <c r="G1299" i="1"/>
  <c r="G8" i="1"/>
  <c r="G535" i="1"/>
  <c r="G575" i="1"/>
  <c r="G772" i="1"/>
  <c r="G822" i="1"/>
  <c r="G442" i="1"/>
  <c r="G654" i="1"/>
  <c r="G687" i="1"/>
  <c r="G899" i="1"/>
  <c r="G1354" i="1"/>
  <c r="G1357" i="1"/>
  <c r="G1450" i="1"/>
  <c r="G1633" i="1"/>
  <c r="G455" i="1"/>
  <c r="G744" i="1"/>
  <c r="G148" i="1"/>
  <c r="G716" i="1"/>
  <c r="G815" i="1"/>
  <c r="G847" i="1"/>
  <c r="G1208" i="1"/>
  <c r="G1432" i="1"/>
  <c r="G182" i="1"/>
  <c r="G710" i="1"/>
  <c r="G765" i="1"/>
  <c r="G1516" i="1"/>
  <c r="G616" i="1"/>
  <c r="G617" i="1"/>
  <c r="G805" i="1"/>
  <c r="G1614" i="1"/>
  <c r="G1677" i="1"/>
  <c r="G13" i="1"/>
  <c r="G15" i="1"/>
  <c r="G18" i="1"/>
  <c r="G1237" i="1"/>
  <c r="G1374" i="1"/>
  <c r="G1512" i="1"/>
  <c r="G1513" i="1"/>
  <c r="G1515" i="1"/>
  <c r="G717" i="1"/>
  <c r="G1290" i="1"/>
  <c r="G1440" i="1"/>
  <c r="G1466" i="1"/>
  <c r="G1613" i="1"/>
  <c r="G1646" i="1"/>
  <c r="G40" i="1"/>
  <c r="G1032" i="1"/>
  <c r="G43" i="1"/>
  <c r="G107" i="1"/>
  <c r="G490" i="1"/>
  <c r="G224" i="1"/>
  <c r="G543" i="1"/>
  <c r="G547" i="1"/>
  <c r="G1420" i="1"/>
  <c r="G554" i="1"/>
  <c r="G555" i="1"/>
  <c r="G1643" i="1"/>
  <c r="G573" i="1"/>
  <c r="G650" i="1"/>
  <c r="G786" i="1"/>
  <c r="G876" i="1"/>
  <c r="G877" i="1"/>
  <c r="G1076" i="1"/>
  <c r="G1176" i="1"/>
  <c r="G1177" i="1"/>
  <c r="G1178" i="1"/>
  <c r="G1179" i="1"/>
  <c r="G1568" i="1"/>
  <c r="G1571" i="1"/>
  <c r="G1572" i="1"/>
  <c r="G1577" i="1"/>
  <c r="G1204" i="1"/>
</calcChain>
</file>

<file path=xl/sharedStrings.xml><?xml version="1.0" encoding="utf-8"?>
<sst xmlns="http://schemas.openxmlformats.org/spreadsheetml/2006/main" count="16815" uniqueCount="8059">
  <si>
    <t>District Name</t>
  </si>
  <si>
    <t>School Name</t>
  </si>
  <si>
    <t>Princ. First Name</t>
  </si>
  <si>
    <t>Princ. Last Name</t>
  </si>
  <si>
    <t>Princ. Title 2</t>
  </si>
  <si>
    <t>Princ. Email</t>
  </si>
  <si>
    <t>City</t>
  </si>
  <si>
    <t>State</t>
  </si>
  <si>
    <t>Zip</t>
  </si>
  <si>
    <t>Absecon Public Schools District</t>
  </si>
  <si>
    <t>Emma C Attales</t>
  </si>
  <si>
    <t>Kevin</t>
  </si>
  <si>
    <t>Burns</t>
  </si>
  <si>
    <t>School Principal</t>
  </si>
  <si>
    <t>kburns@abseconschools.org</t>
  </si>
  <si>
    <t>800 IRELAN AVENUE</t>
  </si>
  <si>
    <t>ABSECON</t>
  </si>
  <si>
    <t>NJ</t>
  </si>
  <si>
    <t>Jessica</t>
  </si>
  <si>
    <t>Kathleen</t>
  </si>
  <si>
    <t>Mary</t>
  </si>
  <si>
    <t>Atlantic City School District</t>
  </si>
  <si>
    <t>Atlantic City High School</t>
  </si>
  <si>
    <t>Constance</t>
  </si>
  <si>
    <t>Days -Chapman</t>
  </si>
  <si>
    <t>cdays@acboe.org</t>
  </si>
  <si>
    <t>1400 N Albany Avenue</t>
  </si>
  <si>
    <t>Atlantic City</t>
  </si>
  <si>
    <t>Kelly</t>
  </si>
  <si>
    <t>Bird</t>
  </si>
  <si>
    <t>Jason</t>
  </si>
  <si>
    <t>Kathy</t>
  </si>
  <si>
    <t>Lewis</t>
  </si>
  <si>
    <t>Chelsea Heights School</t>
  </si>
  <si>
    <t>James</t>
  </si>
  <si>
    <t>Knox</t>
  </si>
  <si>
    <t>jknox@acboe.org</t>
  </si>
  <si>
    <t>4101  Filbert Avenue</t>
  </si>
  <si>
    <t>Jennifer</t>
  </si>
  <si>
    <t>Williams</t>
  </si>
  <si>
    <t>Thomas</t>
  </si>
  <si>
    <t>Biggins</t>
  </si>
  <si>
    <t>Ryan</t>
  </si>
  <si>
    <t>Nicole</t>
  </si>
  <si>
    <t>Texas Avenue School</t>
  </si>
  <si>
    <t>Lina</t>
  </si>
  <si>
    <t>Gil</t>
  </si>
  <si>
    <t>lgil@acboe.org</t>
  </si>
  <si>
    <t>2523 Arctic Avenue</t>
  </si>
  <si>
    <t>Atlantic County Special Services School District</t>
  </si>
  <si>
    <t>Brian</t>
  </si>
  <si>
    <t>Kern</t>
  </si>
  <si>
    <t>4805 NAWAKWA BOULEVARD</t>
  </si>
  <si>
    <t>MAYS LANDING</t>
  </si>
  <si>
    <t>Sharon</t>
  </si>
  <si>
    <t>Warren</t>
  </si>
  <si>
    <t>Atlantic County High School</t>
  </si>
  <si>
    <t>Tad</t>
  </si>
  <si>
    <t>Derenberger</t>
  </si>
  <si>
    <t>tderenberger@acsssd.net</t>
  </si>
  <si>
    <t>Atlantic County Vocational School District</t>
  </si>
  <si>
    <t>Atlantic County Institute of Technology</t>
  </si>
  <si>
    <t>Joseph</t>
  </si>
  <si>
    <t>Potkay</t>
  </si>
  <si>
    <t>jpotkay@acitech.org</t>
  </si>
  <si>
    <t>5080 ATLANTIC AVENUE</t>
  </si>
  <si>
    <t>Erin</t>
  </si>
  <si>
    <t>Glenn</t>
  </si>
  <si>
    <t>Greg</t>
  </si>
  <si>
    <t>Buena Regional School District</t>
  </si>
  <si>
    <t>Buena Regional High School</t>
  </si>
  <si>
    <t>Karen</t>
  </si>
  <si>
    <t>Cavalieri</t>
  </si>
  <si>
    <t>kcavalieri@buena.k12.nj.us</t>
  </si>
  <si>
    <t>125 WEYMOUTH ROAD</t>
  </si>
  <si>
    <t>BUENA</t>
  </si>
  <si>
    <t>Buena Regional Middle School</t>
  </si>
  <si>
    <t>Rory</t>
  </si>
  <si>
    <t>Nordberg</t>
  </si>
  <si>
    <t>rnordberg@buena.k12.nj.us</t>
  </si>
  <si>
    <t>175 WEYMOUTH RD</t>
  </si>
  <si>
    <t>WILLIAMSTOWN</t>
  </si>
  <si>
    <t>Dr. J.P. Cleary Elementary School</t>
  </si>
  <si>
    <t>LEONARD</t>
  </si>
  <si>
    <t>LONG</t>
  </si>
  <si>
    <t>LLONG@BUENA.K12.NJ.US</t>
  </si>
  <si>
    <t>1501 CENTRAL AVE</t>
  </si>
  <si>
    <t>MINOTOLA</t>
  </si>
  <si>
    <t>Jamie</t>
  </si>
  <si>
    <t>Egg Harbor City School District</t>
  </si>
  <si>
    <t>Adrienne</t>
  </si>
  <si>
    <t>School Administrator</t>
  </si>
  <si>
    <t>EGG HARBOR CITY</t>
  </si>
  <si>
    <t>Egg Harbor City Community School</t>
  </si>
  <si>
    <t>Gina</t>
  </si>
  <si>
    <t>Forester</t>
  </si>
  <si>
    <t>gforester@eggharborcityschools.com</t>
  </si>
  <si>
    <t>730 Havana Avenue</t>
  </si>
  <si>
    <t>Egg Harbor Township School District</t>
  </si>
  <si>
    <t>Alder Avenue Middle School</t>
  </si>
  <si>
    <t>Tatianna</t>
  </si>
  <si>
    <t>Cunningham</t>
  </si>
  <si>
    <t>cunningt@eht.k12.nj.us</t>
  </si>
  <si>
    <t>25 ALDER AVENUE</t>
  </si>
  <si>
    <t>EGG HARBOR TOWNSHIP</t>
  </si>
  <si>
    <t>Tracey</t>
  </si>
  <si>
    <t>Egg Harbor Township</t>
  </si>
  <si>
    <t>Clayton J. Davenport Elementary School</t>
  </si>
  <si>
    <t>Latiya</t>
  </si>
  <si>
    <t>White</t>
  </si>
  <si>
    <t>whitel@eht.k12.nj.us</t>
  </si>
  <si>
    <t>2499 SPRUCE AVENUE</t>
  </si>
  <si>
    <t>Dr. Joyanne D. Miller Elementary School</t>
  </si>
  <si>
    <t>Battersby</t>
  </si>
  <si>
    <t>battersj@eht.k12.nj.us</t>
  </si>
  <si>
    <t>2 ALDER AVENUE</t>
  </si>
  <si>
    <t>Rosetti</t>
  </si>
  <si>
    <t>Egg Harbor Township High School</t>
  </si>
  <si>
    <t>Jaclyn</t>
  </si>
  <si>
    <t>Carugno</t>
  </si>
  <si>
    <t>carugnoj@eht.k12.nj.us</t>
  </si>
  <si>
    <t>24 HIGH SCHOOL DRIVE</t>
  </si>
  <si>
    <t>Fernwood Avenue Middle School</t>
  </si>
  <si>
    <t>Frank</t>
  </si>
  <si>
    <t>Locantora</t>
  </si>
  <si>
    <t>locantof@eht.k12.nj.us</t>
  </si>
  <si>
    <t>4034 FERNWOOD AVENUE</t>
  </si>
  <si>
    <t>Rachel</t>
  </si>
  <si>
    <t>David</t>
  </si>
  <si>
    <t>Chief School Administrator</t>
  </si>
  <si>
    <t>Sarah</t>
  </si>
  <si>
    <t>Foley</t>
  </si>
  <si>
    <t>Angela</t>
  </si>
  <si>
    <t>Galloway Township Public School District</t>
  </si>
  <si>
    <t>GALLOWAY</t>
  </si>
  <si>
    <t>Galloway Township Middle School</t>
  </si>
  <si>
    <t>Paula</t>
  </si>
  <si>
    <t>Junker</t>
  </si>
  <si>
    <t>junkerp@gtps.k12.nj.us</t>
  </si>
  <si>
    <t>100 S  REEDS ROAD</t>
  </si>
  <si>
    <t>Patricia</t>
  </si>
  <si>
    <t>Allison</t>
  </si>
  <si>
    <t>Donald</t>
  </si>
  <si>
    <t>Lisa</t>
  </si>
  <si>
    <t>Greater Egg Harbor Regional High School District</t>
  </si>
  <si>
    <t>Absegami High School</t>
  </si>
  <si>
    <t>Daniel</t>
  </si>
  <si>
    <t>dkern@gehrhsd.net</t>
  </si>
  <si>
    <t>201 S  WRANGLEBORO ROAD</t>
  </si>
  <si>
    <t>Kathryn</t>
  </si>
  <si>
    <t>Taylor</t>
  </si>
  <si>
    <t>Bonnie</t>
  </si>
  <si>
    <t>Cedar Creek High School</t>
  </si>
  <si>
    <t>Scott</t>
  </si>
  <si>
    <t>Parker</t>
  </si>
  <si>
    <t>sparker@gehrhsd.net</t>
  </si>
  <si>
    <t>1701 New York Ave.</t>
  </si>
  <si>
    <t>Oakcrest High School</t>
  </si>
  <si>
    <t>Michael</t>
  </si>
  <si>
    <t>Manning</t>
  </si>
  <si>
    <t>mmanning@gehrhsd.net</t>
  </si>
  <si>
    <t>1824 DR  DENNIS FOREMAN DRIVE</t>
  </si>
  <si>
    <t>Vincent</t>
  </si>
  <si>
    <t>Hamilton Township School District</t>
  </si>
  <si>
    <t>George L. Hess Educational Complex</t>
  </si>
  <si>
    <t>Dan</t>
  </si>
  <si>
    <t>Cartwright</t>
  </si>
  <si>
    <t>cartwrightd@hamiltonschools.org</t>
  </si>
  <si>
    <t>700 BABCOCK ROAD</t>
  </si>
  <si>
    <t>Laura</t>
  </si>
  <si>
    <t>Melanie</t>
  </si>
  <si>
    <t>Brown</t>
  </si>
  <si>
    <t>Hammonton School District</t>
  </si>
  <si>
    <t>HAMMONTON</t>
  </si>
  <si>
    <t>Hammonton High School</t>
  </si>
  <si>
    <t>Mattina</t>
  </si>
  <si>
    <t>mmattina@hammontonps.org</t>
  </si>
  <si>
    <t>566 OLD FORKS ROAD</t>
  </si>
  <si>
    <t>Anna</t>
  </si>
  <si>
    <t>Hammonton Middle School</t>
  </si>
  <si>
    <t>Kimberly</t>
  </si>
  <si>
    <t>Rudnesky</t>
  </si>
  <si>
    <t>krudnesky@hammontonps.org</t>
  </si>
  <si>
    <t>75 NORTH LIBERTY STREET</t>
  </si>
  <si>
    <t>Warren E. Sooy Jr. Elementary School</t>
  </si>
  <si>
    <t>Kristina</t>
  </si>
  <si>
    <t>Tigro</t>
  </si>
  <si>
    <t>ktigro@hammontonps.org</t>
  </si>
  <si>
    <t>601 N  FOURTH STREET</t>
  </si>
  <si>
    <t>Debra</t>
  </si>
  <si>
    <t>Schmidt</t>
  </si>
  <si>
    <t>Linwood City School District</t>
  </si>
  <si>
    <t>Belhaven Middle School</t>
  </si>
  <si>
    <t>Luff</t>
  </si>
  <si>
    <t>jenniferluff@linwoodschools.org</t>
  </si>
  <si>
    <t>51 BELHAVEN AVENUE</t>
  </si>
  <si>
    <t>LINWOOD</t>
  </si>
  <si>
    <t>Melissa</t>
  </si>
  <si>
    <t>Duffy</t>
  </si>
  <si>
    <t>Lori</t>
  </si>
  <si>
    <t>Mainland Regional High School</t>
  </si>
  <si>
    <t>MARK</t>
  </si>
  <si>
    <t>MARRONE</t>
  </si>
  <si>
    <t>MMARRONE@MAINLANDREGIONAL.NET</t>
  </si>
  <si>
    <t>1301 OAK AVENUE</t>
  </si>
  <si>
    <t>Margate City School District</t>
  </si>
  <si>
    <t>Eugene A. Tighe Middle School</t>
  </si>
  <si>
    <t>Samantha</t>
  </si>
  <si>
    <t>Dulude</t>
  </si>
  <si>
    <t>sdulude@margateschools.org</t>
  </si>
  <si>
    <t>7804 AMHERST AVENUE</t>
  </si>
  <si>
    <t>MARGATE</t>
  </si>
  <si>
    <t>Jones</t>
  </si>
  <si>
    <t>William H. Ross III School</t>
  </si>
  <si>
    <t>Marino</t>
  </si>
  <si>
    <t>bmarino@margateschools.org</t>
  </si>
  <si>
    <t>101 N  HAVERFORD AVENUE</t>
  </si>
  <si>
    <t>Mullica Township School District</t>
  </si>
  <si>
    <t>Mullica Township Middle School</t>
  </si>
  <si>
    <t>Maris</t>
  </si>
  <si>
    <t>Lynn</t>
  </si>
  <si>
    <t>mlynn@mullicaschools.com</t>
  </si>
  <si>
    <t>500 ELWOOD ROAD</t>
  </si>
  <si>
    <t>ELWOOD</t>
  </si>
  <si>
    <t>Donna</t>
  </si>
  <si>
    <t>Northfield City School District</t>
  </si>
  <si>
    <t>Maureen</t>
  </si>
  <si>
    <t>Vaccaro</t>
  </si>
  <si>
    <t>2000 NEW ROAD</t>
  </si>
  <si>
    <t>NORTHFIELD</t>
  </si>
  <si>
    <t>Northfield Community Middle School</t>
  </si>
  <si>
    <t>Morrison</t>
  </si>
  <si>
    <t>kmorrison@ncs-nj.org</t>
  </si>
  <si>
    <t>Pleasantville Public School District</t>
  </si>
  <si>
    <t>PLEASANTVILLE</t>
  </si>
  <si>
    <t>Teresa</t>
  </si>
  <si>
    <t>Mark</t>
  </si>
  <si>
    <t>Pleasantville Middle School</t>
  </si>
  <si>
    <t>McGaney-Guy</t>
  </si>
  <si>
    <t>mcganeyguy.teresa@pps-nj.us</t>
  </si>
  <si>
    <t>801 MILL ROAD</t>
  </si>
  <si>
    <t>Acting Principal</t>
  </si>
  <si>
    <t>Washington Avenue Elementary School</t>
  </si>
  <si>
    <t>CYNTHIA</t>
  </si>
  <si>
    <t>RUIZCOOPER</t>
  </si>
  <si>
    <t>RUIZCOOPER.CYNTHIA@PPS-NJ.US</t>
  </si>
  <si>
    <t>225 W  WASHINGTON AVENUE</t>
  </si>
  <si>
    <t>Susan</t>
  </si>
  <si>
    <t>Port Republic School District</t>
  </si>
  <si>
    <t>Port Republic Elementary School District</t>
  </si>
  <si>
    <t>Amanda</t>
  </si>
  <si>
    <t>Redrow</t>
  </si>
  <si>
    <t>aredrow@portnj.org</t>
  </si>
  <si>
    <t>137 POMONA AVENUE</t>
  </si>
  <si>
    <t>PORT REPUBLIC</t>
  </si>
  <si>
    <t>Erica</t>
  </si>
  <si>
    <t>Somers Point School District</t>
  </si>
  <si>
    <t>Somers Point</t>
  </si>
  <si>
    <t>Julie</t>
  </si>
  <si>
    <t>Jordan Road Elementary School</t>
  </si>
  <si>
    <t>Kenneth</t>
  </si>
  <si>
    <t>Berardis</t>
  </si>
  <si>
    <t>kberardis@sptsd.org</t>
  </si>
  <si>
    <t>129 Jordan Road</t>
  </si>
  <si>
    <t>Ventnor City School District</t>
  </si>
  <si>
    <t>VENTNOR</t>
  </si>
  <si>
    <t>Ventnor Middle School</t>
  </si>
  <si>
    <t>Anthony</t>
  </si>
  <si>
    <t>Lupo</t>
  </si>
  <si>
    <t>alupo@veccnj.org</t>
  </si>
  <si>
    <t>VENTNOR EDUCATIONAL COMMUNITY</t>
  </si>
  <si>
    <t>Hoffman</t>
  </si>
  <si>
    <t>Michelle</t>
  </si>
  <si>
    <t>Allendale Public School District</t>
  </si>
  <si>
    <t>Brookside School</t>
  </si>
  <si>
    <t>Bruce</t>
  </si>
  <si>
    <t>Winkelstein</t>
  </si>
  <si>
    <t>bwinkelstein@allendalek8.com</t>
  </si>
  <si>
    <t>100 Brookside Avenue</t>
  </si>
  <si>
    <t>Allendale</t>
  </si>
  <si>
    <t>Hillside Elementary School</t>
  </si>
  <si>
    <t>Anastasia</t>
  </si>
  <si>
    <t>Maroulis</t>
  </si>
  <si>
    <t>amaroulis@allendalek8.com</t>
  </si>
  <si>
    <t>89 Hillsdale Avenue</t>
  </si>
  <si>
    <t>Alpine Public School District</t>
  </si>
  <si>
    <t>Alpine Elementary School</t>
  </si>
  <si>
    <t>okeefe@alpineschool.org</t>
  </si>
  <si>
    <t>500 HILLSIDE AVENUE</t>
  </si>
  <si>
    <t>ALPINE</t>
  </si>
  <si>
    <t>Krista</t>
  </si>
  <si>
    <t>Bergen County Special Services School District</t>
  </si>
  <si>
    <t>Autistic Continuum</t>
  </si>
  <si>
    <t>Sandra</t>
  </si>
  <si>
    <t>Melicharek</t>
  </si>
  <si>
    <t>sanmel@bergen.org</t>
  </si>
  <si>
    <t>540 Farview Avenue</t>
  </si>
  <si>
    <t>Paramus</t>
  </si>
  <si>
    <t>Diaz</t>
  </si>
  <si>
    <t>Behavioral Continuum</t>
  </si>
  <si>
    <t>Perez</t>
  </si>
  <si>
    <t>dperez@bergen.org</t>
  </si>
  <si>
    <t>Erik</t>
  </si>
  <si>
    <t>Garcia</t>
  </si>
  <si>
    <t>Kristin</t>
  </si>
  <si>
    <t>Life Skills Continuum</t>
  </si>
  <si>
    <t>Robert</t>
  </si>
  <si>
    <t>Mortorano</t>
  </si>
  <si>
    <t>robmort@bergen.org</t>
  </si>
  <si>
    <t>Katherine</t>
  </si>
  <si>
    <t>Dobbins</t>
  </si>
  <si>
    <t>Multiple Disabilities Continuum</t>
  </si>
  <si>
    <t>Lopez</t>
  </si>
  <si>
    <t>kellope@bergen.org</t>
  </si>
  <si>
    <t>PARAMUS</t>
  </si>
  <si>
    <t>Davis</t>
  </si>
  <si>
    <t>Bergen County Vocational Technical School District</t>
  </si>
  <si>
    <t>Applied Technology High School</t>
  </si>
  <si>
    <t>Dennis</t>
  </si>
  <si>
    <t>Montone</t>
  </si>
  <si>
    <t>denmon@bergen.org</t>
  </si>
  <si>
    <t>400 Paramus Road</t>
  </si>
  <si>
    <t>Bergen County Academies</t>
  </si>
  <si>
    <t>Russell</t>
  </si>
  <si>
    <t>rusdav@bergen.org</t>
  </si>
  <si>
    <t>200 Hackensack Avenue</t>
  </si>
  <si>
    <t>Hackensack</t>
  </si>
  <si>
    <t>Nancy</t>
  </si>
  <si>
    <t>Bergen County Institute for Science and Technology</t>
  </si>
  <si>
    <t>Andrea</t>
  </si>
  <si>
    <t>Sheridan</t>
  </si>
  <si>
    <t>andshe@bergen.org</t>
  </si>
  <si>
    <t>162 Knickerbocker Road</t>
  </si>
  <si>
    <t>Demarest</t>
  </si>
  <si>
    <t>Bridget</t>
  </si>
  <si>
    <t>Bergen County Technical High School - Paramus</t>
  </si>
  <si>
    <t>Jeremy</t>
  </si>
  <si>
    <t>Wertheim</t>
  </si>
  <si>
    <t>jerwer@bergen.org</t>
  </si>
  <si>
    <t>E.285 Pascack Road</t>
  </si>
  <si>
    <t>Marie</t>
  </si>
  <si>
    <t>Bergen County Technical High School - Teterboro</t>
  </si>
  <si>
    <t>Tankard</t>
  </si>
  <si>
    <t>davtan@bergen.org</t>
  </si>
  <si>
    <t>504 Route 46 West</t>
  </si>
  <si>
    <t>Teterboro</t>
  </si>
  <si>
    <t>Victor</t>
  </si>
  <si>
    <t>Lynch</t>
  </si>
  <si>
    <t>Bergenfield Borough School District</t>
  </si>
  <si>
    <t>Bergenfield High School</t>
  </si>
  <si>
    <t>Ragasa</t>
  </si>
  <si>
    <t>rragasa@bergenfield.org</t>
  </si>
  <si>
    <t>80 S PROSPECT AVE</t>
  </si>
  <si>
    <t>BERGENFIELD</t>
  </si>
  <si>
    <t>Linda</t>
  </si>
  <si>
    <t>Thompson</t>
  </si>
  <si>
    <t>William</t>
  </si>
  <si>
    <t>Fleming</t>
  </si>
  <si>
    <t>Jefferson Elementary School</t>
  </si>
  <si>
    <t>Craig</t>
  </si>
  <si>
    <t>Vogt</t>
  </si>
  <si>
    <t>cvogt@bergenfield.org</t>
  </si>
  <si>
    <t>200 HICKORY AVENUE</t>
  </si>
  <si>
    <t>Stephanie</t>
  </si>
  <si>
    <t>Cynthia</t>
  </si>
  <si>
    <t>Roy W. Brown Middle School</t>
  </si>
  <si>
    <t>Dominick</t>
  </si>
  <si>
    <t>Rotante</t>
  </si>
  <si>
    <t>drotante@bergenfield.org</t>
  </si>
  <si>
    <t>130 S WASHINGTON AVE</t>
  </si>
  <si>
    <t>Lawrence</t>
  </si>
  <si>
    <t>Bogota Public School District</t>
  </si>
  <si>
    <t>Bogota Jr./Sr. High School</t>
  </si>
  <si>
    <t>Jeannie</t>
  </si>
  <si>
    <t>Paz</t>
  </si>
  <si>
    <t>jpaz@bogotaboe.com</t>
  </si>
  <si>
    <t>2 HENRY C  LUTHIN PLACE</t>
  </si>
  <si>
    <t>BOGOTA</t>
  </si>
  <si>
    <t>Evan</t>
  </si>
  <si>
    <t>Bogota Middle School</t>
  </si>
  <si>
    <t>Christopher</t>
  </si>
  <si>
    <t>Albiez</t>
  </si>
  <si>
    <t>calbiez@bogotaboe.com</t>
  </si>
  <si>
    <t>131 East Fort Lee Road</t>
  </si>
  <si>
    <t>Bogota</t>
  </si>
  <si>
    <t>Deirdre</t>
  </si>
  <si>
    <t>Ortiz</t>
  </si>
  <si>
    <t>Martin</t>
  </si>
  <si>
    <t>Carlstadt-East Rutherford Regional High School District</t>
  </si>
  <si>
    <t>Henry P. Becton Regional High School</t>
  </si>
  <si>
    <t>Dario</t>
  </si>
  <si>
    <t>Sforza</t>
  </si>
  <si>
    <t>dsforza@bectonhs.org</t>
  </si>
  <si>
    <t>120 PATERSON AVENUE</t>
  </si>
  <si>
    <t>EAST RUTHERFORD</t>
  </si>
  <si>
    <t>Marc</t>
  </si>
  <si>
    <t>Cliffside Park School District</t>
  </si>
  <si>
    <t>Cliffside Park High School</t>
  </si>
  <si>
    <t>Pinto</t>
  </si>
  <si>
    <t>lpinto@cliffsidepark.edu</t>
  </si>
  <si>
    <t>64 Riverview Avenue</t>
  </si>
  <si>
    <t>CLIFFSIDE PARK</t>
  </si>
  <si>
    <t>School #3</t>
  </si>
  <si>
    <t>Barbara</t>
  </si>
  <si>
    <t>Bracco</t>
  </si>
  <si>
    <t>bbracco@cliffsidepark.edu</t>
  </si>
  <si>
    <t>397 PALISADE AVENUE</t>
  </si>
  <si>
    <t>Jill</t>
  </si>
  <si>
    <t>School #4</t>
  </si>
  <si>
    <t>Roussos</t>
  </si>
  <si>
    <t>jroussos@cliffsidepark.edu</t>
  </si>
  <si>
    <t>279 COLUMBIA AVENUE</t>
  </si>
  <si>
    <t>Alba</t>
  </si>
  <si>
    <t>Dana</t>
  </si>
  <si>
    <t>Amy</t>
  </si>
  <si>
    <t>School #6/Middle School</t>
  </si>
  <si>
    <t>Bargna</t>
  </si>
  <si>
    <t>rbargna@cliffsidepark.edu</t>
  </si>
  <si>
    <t>440 OAKDENE AVE</t>
  </si>
  <si>
    <t>Closter Public School District</t>
  </si>
  <si>
    <t>Dianne</t>
  </si>
  <si>
    <t>Smith</t>
  </si>
  <si>
    <t>dmsmith@nvnet.org</t>
  </si>
  <si>
    <t>340 Homans Avenue</t>
  </si>
  <si>
    <t>CLOSTER</t>
  </si>
  <si>
    <t>Dara</t>
  </si>
  <si>
    <t>Weiss</t>
  </si>
  <si>
    <t>Tenakill Middle School</t>
  </si>
  <si>
    <t>Christine</t>
  </si>
  <si>
    <t>Cipollini</t>
  </si>
  <si>
    <t>CipolliniC@nvnet.org</t>
  </si>
  <si>
    <t>275 High Street</t>
  </si>
  <si>
    <t>Cresskill Public School District</t>
  </si>
  <si>
    <t>Cresskill High School</t>
  </si>
  <si>
    <t>John</t>
  </si>
  <si>
    <t>Massaro</t>
  </si>
  <si>
    <t>jmassaro@cresskillnj.net</t>
  </si>
  <si>
    <t>1 Lincoln Drive</t>
  </si>
  <si>
    <t>Cresskill</t>
  </si>
  <si>
    <t>Cristina</t>
  </si>
  <si>
    <t>Cresskill Middle School</t>
  </si>
  <si>
    <t>Collins</t>
  </si>
  <si>
    <t>CRESSKILL</t>
  </si>
  <si>
    <t>Danielle</t>
  </si>
  <si>
    <t>Merritt Memorial</t>
  </si>
  <si>
    <t>Jacqueline</t>
  </si>
  <si>
    <t>Peguero</t>
  </si>
  <si>
    <t>jpeguero@cresskillnj.net</t>
  </si>
  <si>
    <t>1 DOGWOOD LANE</t>
  </si>
  <si>
    <t>Demarest School District</t>
  </si>
  <si>
    <t>Mazzini</t>
  </si>
  <si>
    <t>mazzinif@nvnet.org</t>
  </si>
  <si>
    <t>DEMAREST</t>
  </si>
  <si>
    <t>Demarest Middle School</t>
  </si>
  <si>
    <t>Jonathon</t>
  </si>
  <si>
    <t>Regan</t>
  </si>
  <si>
    <t>regan@nvnet.org</t>
  </si>
  <si>
    <t>568 PIERMONT RD</t>
  </si>
  <si>
    <t>Luther Lee Emerson School</t>
  </si>
  <si>
    <t>15 COLUMBUS ROAD</t>
  </si>
  <si>
    <t>Dumont Public School District</t>
  </si>
  <si>
    <t>Dumont High School</t>
  </si>
  <si>
    <t>Wichmann</t>
  </si>
  <si>
    <t>dwichmann@dumontnj.org</t>
  </si>
  <si>
    <t>101 NEW MILFORD AVE</t>
  </si>
  <si>
    <t>DUMONT</t>
  </si>
  <si>
    <t>Grant Elementary School</t>
  </si>
  <si>
    <t>Sheri</t>
  </si>
  <si>
    <t>Weinstein</t>
  </si>
  <si>
    <t>gweinstein@dumontnj.org</t>
  </si>
  <si>
    <t>100 GRANT AVE</t>
  </si>
  <si>
    <t>Cheryl</t>
  </si>
  <si>
    <t>Honiss Elementary\Middle School</t>
  </si>
  <si>
    <t>Bennett</t>
  </si>
  <si>
    <t>hbennett@dumontnj.org</t>
  </si>
  <si>
    <t>31 DEPEW ST</t>
  </si>
  <si>
    <t>Luis</t>
  </si>
  <si>
    <t>Selzer Elementary\Middle School</t>
  </si>
  <si>
    <t>DeSocio</t>
  </si>
  <si>
    <t>sdesocio@dumontnj.org</t>
  </si>
  <si>
    <t>435 PROSPECT AVE</t>
  </si>
  <si>
    <t>East Rutherford School District</t>
  </si>
  <si>
    <t>Alfred S. Faust Middle School</t>
  </si>
  <si>
    <t>Regina</t>
  </si>
  <si>
    <t>Barrale</t>
  </si>
  <si>
    <t>rbarrale@erboe.net</t>
  </si>
  <si>
    <t>100 Uhland Street</t>
  </si>
  <si>
    <t>East Rutherford</t>
  </si>
  <si>
    <t>Renee</t>
  </si>
  <si>
    <t>Lincoln School</t>
  </si>
  <si>
    <t>Peter</t>
  </si>
  <si>
    <t>Vilardi</t>
  </si>
  <si>
    <t>pvilardi@erboe.net</t>
  </si>
  <si>
    <t>258 Grove Street</t>
  </si>
  <si>
    <t>Lee</t>
  </si>
  <si>
    <t>Edgewater School District</t>
  </si>
  <si>
    <t>Eleanor Van Gelder</t>
  </si>
  <si>
    <t>Michele</t>
  </si>
  <si>
    <t>Higgins</t>
  </si>
  <si>
    <t>mhiggins@edgewaterschools.org</t>
  </si>
  <si>
    <t>251 UNDERCLIFF AVE</t>
  </si>
  <si>
    <t>EDGEWATER</t>
  </si>
  <si>
    <t>Billy</t>
  </si>
  <si>
    <t>Elmwood Park School District</t>
  </si>
  <si>
    <t>Gantner Avenue School</t>
  </si>
  <si>
    <t>Jackter</t>
  </si>
  <si>
    <t>Jackter@epps.org</t>
  </si>
  <si>
    <t>99 ROOSEVELT AVE</t>
  </si>
  <si>
    <t>ELMWOOD PARK</t>
  </si>
  <si>
    <t>Gilbert Avenue School</t>
  </si>
  <si>
    <t>Alberta</t>
  </si>
  <si>
    <t>malberta@epps.org</t>
  </si>
  <si>
    <t>151 GILBERT AVENUE</t>
  </si>
  <si>
    <t>Memorial Middle School</t>
  </si>
  <si>
    <t>Fasouletos</t>
  </si>
  <si>
    <t>kfasouletos@epps.org</t>
  </si>
  <si>
    <t>375 RIVER DRIVE</t>
  </si>
  <si>
    <t>Memorial Senior High School</t>
  </si>
  <si>
    <t>Corinne</t>
  </si>
  <si>
    <t>DiMartino</t>
  </si>
  <si>
    <t>DiMartino@epps.org</t>
  </si>
  <si>
    <t>375 RIVER DR</t>
  </si>
  <si>
    <t>Emerson Public School District</t>
  </si>
  <si>
    <t>Emerson Jr Sr High</t>
  </si>
  <si>
    <t>Hutchinson</t>
  </si>
  <si>
    <t>bhutchinson@emersonschools.org</t>
  </si>
  <si>
    <t>131 Main Street</t>
  </si>
  <si>
    <t>Emerson</t>
  </si>
  <si>
    <t>Patrick M Villano School</t>
  </si>
  <si>
    <t>Espinoza</t>
  </si>
  <si>
    <t>jespinoza@emersonschools.org</t>
  </si>
  <si>
    <t>175 Linwood Avenue</t>
  </si>
  <si>
    <t>Englewood Cliffs School District</t>
  </si>
  <si>
    <t>Colin</t>
  </si>
  <si>
    <t>Winch</t>
  </si>
  <si>
    <t>cwinch@englewoodcliffs.org</t>
  </si>
  <si>
    <t>ENGLEWOOD CLIFFS</t>
  </si>
  <si>
    <t>Upper School</t>
  </si>
  <si>
    <t>143 CHARLOTTE PL</t>
  </si>
  <si>
    <t>Englewood Public School District</t>
  </si>
  <si>
    <t>ENGLEWOOD</t>
  </si>
  <si>
    <t>Salazar</t>
  </si>
  <si>
    <t>Dr. John Grieco Elementary School</t>
  </si>
  <si>
    <t>Lamarr</t>
  </si>
  <si>
    <t>lthomas@epsd.org</t>
  </si>
  <si>
    <t>50 Durie Ave</t>
  </si>
  <si>
    <t>Englewood</t>
  </si>
  <si>
    <t>Dr. Leroy McCloud Elementary School</t>
  </si>
  <si>
    <t>Randall</t>
  </si>
  <si>
    <t>Rossilli</t>
  </si>
  <si>
    <t>rrossilli@epsd.org</t>
  </si>
  <si>
    <t>325 TENAFLY RD</t>
  </si>
  <si>
    <t>Dwight Morrow High School/Academies@Englewood</t>
  </si>
  <si>
    <t>Jorge</t>
  </si>
  <si>
    <t>Osoria</t>
  </si>
  <si>
    <t>josoria@epsd.org</t>
  </si>
  <si>
    <t>274 KNICKERBOCKER RD</t>
  </si>
  <si>
    <t>Janis E. Dismus Middle School</t>
  </si>
  <si>
    <t>Mathieu</t>
  </si>
  <si>
    <t>lmathieu@epsd.org</t>
  </si>
  <si>
    <t>325 Tryon Avenue</t>
  </si>
  <si>
    <t>Fair Lawn Public School District</t>
  </si>
  <si>
    <t>Fair Lawn High School</t>
  </si>
  <si>
    <t>Paul</t>
  </si>
  <si>
    <t>Gorski</t>
  </si>
  <si>
    <t>pgorski@fairlawnschools.org</t>
  </si>
  <si>
    <t>14  00 BERDAN AVENUE</t>
  </si>
  <si>
    <t>FAIR LAWN</t>
  </si>
  <si>
    <t>Pascale</t>
  </si>
  <si>
    <t>Henry B. Milnes Elementary School</t>
  </si>
  <si>
    <t>Primavera</t>
  </si>
  <si>
    <t>sprimavera@fairlawnschools.org</t>
  </si>
  <si>
    <t>8-01 PHILLIP ST</t>
  </si>
  <si>
    <t>John A. Forrest Elementary School</t>
  </si>
  <si>
    <t>Damon</t>
  </si>
  <si>
    <t>Placenti</t>
  </si>
  <si>
    <t>dplacenti@fairlawnschools.org</t>
  </si>
  <si>
    <t>10 - 00 HOPPER AVE</t>
  </si>
  <si>
    <t>Lyncrest Elementary School</t>
  </si>
  <si>
    <t>Diee</t>
  </si>
  <si>
    <t>kdiee@fairlawnschools.org</t>
  </si>
  <si>
    <t>9-04 MORLOT AVE</t>
  </si>
  <si>
    <t>Kerry</t>
  </si>
  <si>
    <t>Schwindt</t>
  </si>
  <si>
    <t>nschwindt@fairlawnschools.org</t>
  </si>
  <si>
    <t>12 - 00 FIRST STREET</t>
  </si>
  <si>
    <t>Holmes</t>
  </si>
  <si>
    <t>Radburn Elementary School</t>
  </si>
  <si>
    <t>Lindsay</t>
  </si>
  <si>
    <t>jlindsay@fairlawnschools.org</t>
  </si>
  <si>
    <t>18-00 RADBURN RD</t>
  </si>
  <si>
    <t>Murphy</t>
  </si>
  <si>
    <t>Thomas Jefferson Middle School</t>
  </si>
  <si>
    <t>Weaver</t>
  </si>
  <si>
    <t>mweaver@fairlawnschools.org</t>
  </si>
  <si>
    <t>35 - 01 MORLOT AVENUE</t>
  </si>
  <si>
    <t>Warren Point Elementary School</t>
  </si>
  <si>
    <t>Suzanne</t>
  </si>
  <si>
    <t>Gons</t>
  </si>
  <si>
    <t>sgons@fairlawnschools.org</t>
  </si>
  <si>
    <t>30-07 BROADWAY</t>
  </si>
  <si>
    <t>Fairview Public School District</t>
  </si>
  <si>
    <t>Betty</t>
  </si>
  <si>
    <t>Puente</t>
  </si>
  <si>
    <t>bpuente@fairviewps.org</t>
  </si>
  <si>
    <t>140 ANDERSON  AVENUE</t>
  </si>
  <si>
    <t>FAIRVIEW</t>
  </si>
  <si>
    <t>Kayla</t>
  </si>
  <si>
    <t>Maria</t>
  </si>
  <si>
    <t>Fort Lee School District</t>
  </si>
  <si>
    <t>Fort Lee High School</t>
  </si>
  <si>
    <t>Lauren</t>
  </si>
  <si>
    <t>Glynn</t>
  </si>
  <si>
    <t>lglynn@flboe.com</t>
  </si>
  <si>
    <t>3000 LEMOINE AVE</t>
  </si>
  <si>
    <t>FORT LEE</t>
  </si>
  <si>
    <t>Lewis F. Cole Middle School</t>
  </si>
  <si>
    <t>wdiaz@flboe.com</t>
  </si>
  <si>
    <t>467 STILLWELL AVENUE</t>
  </si>
  <si>
    <t>Katie</t>
  </si>
  <si>
    <t>School No. 1</t>
  </si>
  <si>
    <t>Alberto</t>
  </si>
  <si>
    <t>Ruiz</t>
  </si>
  <si>
    <t>aruiz@flboe.com</t>
  </si>
  <si>
    <t>250 HOYM STREET</t>
  </si>
  <si>
    <t>School No. 3</t>
  </si>
  <si>
    <t>Viveca</t>
  </si>
  <si>
    <t>Glover</t>
  </si>
  <si>
    <t>vglover@flboe.com</t>
  </si>
  <si>
    <t>2405 SECOND STREET</t>
  </si>
  <si>
    <t>Aimee</t>
  </si>
  <si>
    <t>School No. 4</t>
  </si>
  <si>
    <t>Patrick</t>
  </si>
  <si>
    <t>Ambrosio</t>
  </si>
  <si>
    <t>pambrosio@flboe.com</t>
  </si>
  <si>
    <t>1193 ANDERSON AVE</t>
  </si>
  <si>
    <t>Franklin Lakes School District</t>
  </si>
  <si>
    <t>Franklin Lakes</t>
  </si>
  <si>
    <t>Franklin Avenue Middle School</t>
  </si>
  <si>
    <t>Keiser</t>
  </si>
  <si>
    <t>jkeiser@franklinlakes.k12.nj.us</t>
  </si>
  <si>
    <t>755 Franklin Avenue</t>
  </si>
  <si>
    <t>Fontana</t>
  </si>
  <si>
    <t>Woodside Avenue School</t>
  </si>
  <si>
    <t>Ann</t>
  </si>
  <si>
    <t>Jameson</t>
  </si>
  <si>
    <t>ajameson@franklinlakes.k12.nj.us</t>
  </si>
  <si>
    <t>305 Woodside Avenue</t>
  </si>
  <si>
    <t>Garfield Public School District</t>
  </si>
  <si>
    <t>Mendez</t>
  </si>
  <si>
    <t>GARFIELD</t>
  </si>
  <si>
    <t>Jennette</t>
  </si>
  <si>
    <t>Garfield High School</t>
  </si>
  <si>
    <t>Dorotea</t>
  </si>
  <si>
    <t>ddamico@gboe.org</t>
  </si>
  <si>
    <t>500 PALISADE AVE</t>
  </si>
  <si>
    <t>Garfield Middle School</t>
  </si>
  <si>
    <t>Richard</t>
  </si>
  <si>
    <t>Rigoglioso</t>
  </si>
  <si>
    <t>rrigoglioso@gboe.org</t>
  </si>
  <si>
    <t>175 LANZA AVE</t>
  </si>
  <si>
    <t>Nadia</t>
  </si>
  <si>
    <t>Valerie</t>
  </si>
  <si>
    <t>Stewart</t>
  </si>
  <si>
    <t>Garfield</t>
  </si>
  <si>
    <t>Charles</t>
  </si>
  <si>
    <t>Thomas Jefferson School #9</t>
  </si>
  <si>
    <t>Sally</t>
  </si>
  <si>
    <t>Bulger</t>
  </si>
  <si>
    <t>sbulger@gboe.org</t>
  </si>
  <si>
    <t>62 Alpine Street</t>
  </si>
  <si>
    <t>Jeffrey</t>
  </si>
  <si>
    <t>Wilson</t>
  </si>
  <si>
    <t>Glen Rock Public School District</t>
  </si>
  <si>
    <t>Alexander Hamilton School</t>
  </si>
  <si>
    <t>Gomez</t>
  </si>
  <si>
    <t>gomezk@glenrocknj.org</t>
  </si>
  <si>
    <t>380 HARRISTOWN ROAD</t>
  </si>
  <si>
    <t>GLEN ROCK</t>
  </si>
  <si>
    <t>Central School</t>
  </si>
  <si>
    <t>LaCroix</t>
  </si>
  <si>
    <t>lacroixk@glenrocknj.org</t>
  </si>
  <si>
    <t>600 S MAPLE AVE</t>
  </si>
  <si>
    <t>Diane</t>
  </si>
  <si>
    <t>Clara E Coleman School</t>
  </si>
  <si>
    <t>Edward</t>
  </si>
  <si>
    <t>thompsone@glenrocknj.org</t>
  </si>
  <si>
    <t>100 PINELYNN RD</t>
  </si>
  <si>
    <t>Glen Rock High School</t>
  </si>
  <si>
    <t>Giurlando</t>
  </si>
  <si>
    <t>giurlandom@glenrocknj.org</t>
  </si>
  <si>
    <t>400 HAMILTON AVENUE</t>
  </si>
  <si>
    <t>Glen Rock Middle School</t>
  </si>
  <si>
    <t>600 HARRISTOWN ROAD</t>
  </si>
  <si>
    <t>Richard E Byrd School</t>
  </si>
  <si>
    <t>Jodie</t>
  </si>
  <si>
    <t>Craft</t>
  </si>
  <si>
    <t>craftj@glenrocknj.org</t>
  </si>
  <si>
    <t>640 DOREMUS AVE</t>
  </si>
  <si>
    <t>Hackensack School District</t>
  </si>
  <si>
    <t>Eric</t>
  </si>
  <si>
    <t>HACKENSACK</t>
  </si>
  <si>
    <t>Judith</t>
  </si>
  <si>
    <t>Cecilia</t>
  </si>
  <si>
    <t>Hackensack High School</t>
  </si>
  <si>
    <t>Montesano</t>
  </si>
  <si>
    <t>jimmontesano@hackensackschools.org</t>
  </si>
  <si>
    <t>FIRST &amp; BEECH STREETS</t>
  </si>
  <si>
    <t>Edwards</t>
  </si>
  <si>
    <t>Hackensack Middle School</t>
  </si>
  <si>
    <t>Joy</t>
  </si>
  <si>
    <t>Dorsey-Whiting</t>
  </si>
  <si>
    <t>jdorsey-whiting@hackensackschools.org</t>
  </si>
  <si>
    <t>360 Union Street</t>
  </si>
  <si>
    <t>Heather</t>
  </si>
  <si>
    <t>Osvaldo</t>
  </si>
  <si>
    <t>Sanchez</t>
  </si>
  <si>
    <t>Whitaker</t>
  </si>
  <si>
    <t>Hasbrouck Heights School District</t>
  </si>
  <si>
    <t>HASBROUCK HEIGHTS</t>
  </si>
  <si>
    <t>Hasbrouck Heights High School</t>
  </si>
  <si>
    <t>Vincenzo</t>
  </si>
  <si>
    <t>Barchini</t>
  </si>
  <si>
    <t>barchiniv@hhschools.org</t>
  </si>
  <si>
    <t>365 BOULEVARD</t>
  </si>
  <si>
    <t>Hasbrouck Heights Middle School</t>
  </si>
  <si>
    <t>Mastropietro</t>
  </si>
  <si>
    <t>mastropietroj@hhschools.org</t>
  </si>
  <si>
    <t>Hillsdale School District</t>
  </si>
  <si>
    <t>Ann Blanche Smith</t>
  </si>
  <si>
    <t>chiggins@hillsdaleschools.com</t>
  </si>
  <si>
    <t>1000 HILLSDALE AVE</t>
  </si>
  <si>
    <t>HILLSDALE</t>
  </si>
  <si>
    <t>George G White</t>
  </si>
  <si>
    <t>Bergamini</t>
  </si>
  <si>
    <t>dbergamini@hillsdaleschools.com</t>
  </si>
  <si>
    <t>120 MAGNOLIA AVE</t>
  </si>
  <si>
    <t>Bell</t>
  </si>
  <si>
    <t>Ho-Ho-Kus School District</t>
  </si>
  <si>
    <t>Ho-Ho-Kus Public School</t>
  </si>
  <si>
    <t>Martha</t>
  </si>
  <si>
    <t>Walsh</t>
  </si>
  <si>
    <t>mwalsh@hohokus.org</t>
  </si>
  <si>
    <t>70 LLOYD ROAD</t>
  </si>
  <si>
    <t>HO  HO  KUS</t>
  </si>
  <si>
    <t>Leonia Public School District</t>
  </si>
  <si>
    <t>Leonia</t>
  </si>
  <si>
    <t>Justin</t>
  </si>
  <si>
    <t>Cooper</t>
  </si>
  <si>
    <t>Leonia High School</t>
  </si>
  <si>
    <t>Kalender</t>
  </si>
  <si>
    <t>charles.kalender@leoniaschools.org</t>
  </si>
  <si>
    <t>100 Christie Heights Street</t>
  </si>
  <si>
    <t>Allyson</t>
  </si>
  <si>
    <t>Leonia Middle School</t>
  </si>
  <si>
    <t>Saco</t>
  </si>
  <si>
    <t>david.saco@leoniaschools.org</t>
  </si>
  <si>
    <t>500 Broad Avenue</t>
  </si>
  <si>
    <t>Little Ferry Public School District</t>
  </si>
  <si>
    <t>Memorial Middle  School</t>
  </si>
  <si>
    <t>George</t>
  </si>
  <si>
    <t>Peakler</t>
  </si>
  <si>
    <t>gpeakler@lfboe.org</t>
  </si>
  <si>
    <t>130 LIBERTY ST</t>
  </si>
  <si>
    <t>LITTLE FERRY</t>
  </si>
  <si>
    <t>Miller</t>
  </si>
  <si>
    <t>Jocelyn</t>
  </si>
  <si>
    <t>Lodi School District</t>
  </si>
  <si>
    <t>LODI</t>
  </si>
  <si>
    <t>Lodi High School</t>
  </si>
  <si>
    <t>Attanasio</t>
  </si>
  <si>
    <t>michael.attanasio@lodi.k12.nj.us</t>
  </si>
  <si>
    <t>99 PUTNAM STREET</t>
  </si>
  <si>
    <t>Caitlin</t>
  </si>
  <si>
    <t>Cardone</t>
  </si>
  <si>
    <t>michael.cardone@lodi.k12.nj.us</t>
  </si>
  <si>
    <t>75 FIRST STREET</t>
  </si>
  <si>
    <t>Lyndhurst Public School District</t>
  </si>
  <si>
    <t>Giangeruso</t>
  </si>
  <si>
    <t>robertgiangeruso@lyndhurst.k12.nj.us</t>
  </si>
  <si>
    <t>LYNDHURST</t>
  </si>
  <si>
    <t>Community</t>
  </si>
  <si>
    <t>862 Valley Brook Avenue</t>
  </si>
  <si>
    <t>Lyndhurst</t>
  </si>
  <si>
    <t>Franklin School</t>
  </si>
  <si>
    <t>Scardino</t>
  </si>
  <si>
    <t>jenniferscardino@lyndhurst.k12.nj.us</t>
  </si>
  <si>
    <t>360 STUYVESANT AVE</t>
  </si>
  <si>
    <t>Jefferson School</t>
  </si>
  <si>
    <t>Vastola</t>
  </si>
  <si>
    <t>joevastola@lyndhurst.k12.nj.us</t>
  </si>
  <si>
    <t>336 LAKE AVE.</t>
  </si>
  <si>
    <t>Lyndhurst High School</t>
  </si>
  <si>
    <t>Vuono</t>
  </si>
  <si>
    <t>lauravuono@lyndhurst.k12.nj.us</t>
  </si>
  <si>
    <t>400 Weart Avenue</t>
  </si>
  <si>
    <t>Lyndhurst Middle School</t>
  </si>
  <si>
    <t>Rizzo</t>
  </si>
  <si>
    <t>michaelrizzo@lyndhurst.k12.nj.us</t>
  </si>
  <si>
    <t>625 Page Avenue</t>
  </si>
  <si>
    <t>Christina</t>
  </si>
  <si>
    <t>Mahwah Township Public School District</t>
  </si>
  <si>
    <t>Betsy Ross Elementary</t>
  </si>
  <si>
    <t>Henzel</t>
  </si>
  <si>
    <t>mhenzel@mahwah.k12.nj.us</t>
  </si>
  <si>
    <t>20 MALCOLM RD</t>
  </si>
  <si>
    <t>MAHWAH</t>
  </si>
  <si>
    <t>Joyce Kilmer School</t>
  </si>
  <si>
    <t>Bowie</t>
  </si>
  <si>
    <t>bbowie@mahwah.k12.nj.us</t>
  </si>
  <si>
    <t>80 RIDGE ROAD</t>
  </si>
  <si>
    <t>Ashley</t>
  </si>
  <si>
    <t>Adams</t>
  </si>
  <si>
    <t>Lenape Meadows</t>
  </si>
  <si>
    <t>Wyka</t>
  </si>
  <si>
    <t>pwyka@mahwah.k12.nj.us</t>
  </si>
  <si>
    <t>160 RIDGE ROAD</t>
  </si>
  <si>
    <t>Natasha</t>
  </si>
  <si>
    <t>Carrera</t>
  </si>
  <si>
    <t>Mahwah High School</t>
  </si>
  <si>
    <t>jpascale@mahwah.k12.nj.us</t>
  </si>
  <si>
    <t>50 RIDGE ROAD</t>
  </si>
  <si>
    <t>Ramapo Ridge</t>
  </si>
  <si>
    <t>Cory</t>
  </si>
  <si>
    <t>bcory@mahwah.k12.nj.us</t>
  </si>
  <si>
    <t>150 RIDGE ROAD</t>
  </si>
  <si>
    <t>Maywood School District</t>
  </si>
  <si>
    <t>Maywood Avenue School</t>
  </si>
  <si>
    <t>Jordan</t>
  </si>
  <si>
    <t>mjordan@maywoodschools.org</t>
  </si>
  <si>
    <t>452 MAYWOOD AVE</t>
  </si>
  <si>
    <t>MAYWOOD</t>
  </si>
  <si>
    <t>Keith</t>
  </si>
  <si>
    <t>Carly</t>
  </si>
  <si>
    <t>Midland Park School District</t>
  </si>
  <si>
    <t>Highland Elementary School</t>
  </si>
  <si>
    <t>Andrew</t>
  </si>
  <si>
    <t>Bianco</t>
  </si>
  <si>
    <t>abianco@mpsnj.org</t>
  </si>
  <si>
    <t>31 HIGHLAND AVE</t>
  </si>
  <si>
    <t>MIDLAND PARK</t>
  </si>
  <si>
    <t>Midland Park Jr./Sr. High School</t>
  </si>
  <si>
    <t>Nicholas</t>
  </si>
  <si>
    <t>Capuano</t>
  </si>
  <si>
    <t>ncapuano@mpsnj.org</t>
  </si>
  <si>
    <t>250 PROSPECT ST</t>
  </si>
  <si>
    <t>Margaret</t>
  </si>
  <si>
    <t>Montvale Board of Education School District</t>
  </si>
  <si>
    <t>Fieldstone Middle School</t>
  </si>
  <si>
    <t>Lauricella</t>
  </si>
  <si>
    <t>mlauricella@montvalek8.org</t>
  </si>
  <si>
    <t>47 Spring Valley Road</t>
  </si>
  <si>
    <t>Montvale</t>
  </si>
  <si>
    <t>Walker</t>
  </si>
  <si>
    <t>Nina</t>
  </si>
  <si>
    <t>Robert L. Craig School</t>
  </si>
  <si>
    <t>New Milford Public School District</t>
  </si>
  <si>
    <t>Berkley Street School</t>
  </si>
  <si>
    <t>Caridad</t>
  </si>
  <si>
    <t>Chrisomalis</t>
  </si>
  <si>
    <t>cchrisomalis@nmpsd.org</t>
  </si>
  <si>
    <t>812 BERKLEY STREET</t>
  </si>
  <si>
    <t>NEW MILFORD</t>
  </si>
  <si>
    <t>David E. Owens Middle School</t>
  </si>
  <si>
    <t>DeLalla</t>
  </si>
  <si>
    <t>jdelalla@nmpsd.org</t>
  </si>
  <si>
    <t>470 MARION AVENUE</t>
  </si>
  <si>
    <t>Sullivan</t>
  </si>
  <si>
    <t>New Milford High School</t>
  </si>
  <si>
    <t>Louis</t>
  </si>
  <si>
    <t>Manuppelli</t>
  </si>
  <si>
    <t>lmanuppelli@nmpsd.org</t>
  </si>
  <si>
    <t>330 River Road</t>
  </si>
  <si>
    <t>North Arlington School District</t>
  </si>
  <si>
    <t>Alicia</t>
  </si>
  <si>
    <t>North Arlington</t>
  </si>
  <si>
    <t>Rodriguez</t>
  </si>
  <si>
    <t>Carolyn</t>
  </si>
  <si>
    <t>Thomas Jefferson Elementary School</t>
  </si>
  <si>
    <t>Griggs</t>
  </si>
  <si>
    <t>mgriggs@navikings.org</t>
  </si>
  <si>
    <t>100 Prospect Avenue</t>
  </si>
  <si>
    <t>Veterans Middle School</t>
  </si>
  <si>
    <t>Russo</t>
  </si>
  <si>
    <t>nrusso@navikings.org</t>
  </si>
  <si>
    <t>191 Rutherford Place</t>
  </si>
  <si>
    <t>Nicolette</t>
  </si>
  <si>
    <t>Northern Highlands Regional High School District</t>
  </si>
  <si>
    <t>Northern Highlands Regional High School</t>
  </si>
  <si>
    <t>Occhino</t>
  </si>
  <si>
    <t>occhinoj@northernhighlands.org</t>
  </si>
  <si>
    <t>298 HILLSIDE AVE</t>
  </si>
  <si>
    <t>ALLENDALE</t>
  </si>
  <si>
    <t>Spencer</t>
  </si>
  <si>
    <t>Northern Valley Regional High School District</t>
  </si>
  <si>
    <t>Northern Valley Regional High School at Demarest</t>
  </si>
  <si>
    <t>Sabatini</t>
  </si>
  <si>
    <t>sabatini@nvnet.org</t>
  </si>
  <si>
    <t>150 Knickerbocker Road</t>
  </si>
  <si>
    <t>Northern Valley Regional High School at Old Tappan</t>
  </si>
  <si>
    <t>Scarafile</t>
  </si>
  <si>
    <t>scarafilef@nvnet.org</t>
  </si>
  <si>
    <t>140 Central Avenue</t>
  </si>
  <si>
    <t>Old Tappan</t>
  </si>
  <si>
    <t>Oakland Public School District</t>
  </si>
  <si>
    <t>Dogwood Hill Elementary School</t>
  </si>
  <si>
    <t>Sean</t>
  </si>
  <si>
    <t>Bowe</t>
  </si>
  <si>
    <t>bowe@oaklandschoolsnj.org</t>
  </si>
  <si>
    <t>25 DOGWOOD DR</t>
  </si>
  <si>
    <t>OAKLAND</t>
  </si>
  <si>
    <t>Heights Elementary School</t>
  </si>
  <si>
    <t>Robyn</t>
  </si>
  <si>
    <t>Greenwald</t>
  </si>
  <si>
    <t>greenwald@oaklandschoolsnj.org</t>
  </si>
  <si>
    <t>114 SEMINOLE AVE</t>
  </si>
  <si>
    <t>Manito Elementary School</t>
  </si>
  <si>
    <t>Adam</t>
  </si>
  <si>
    <t>Silverstein</t>
  </si>
  <si>
    <t>silverstein@oaklandschoolsnj.org</t>
  </si>
  <si>
    <t>111 MANITO AVE</t>
  </si>
  <si>
    <t>TOPS Early Learning Childhood Learning</t>
  </si>
  <si>
    <t>Zimmerle</t>
  </si>
  <si>
    <t>Director</t>
  </si>
  <si>
    <t>zimmerle@oaklandschoolsnj.org</t>
  </si>
  <si>
    <t>117C Franklin Avenue</t>
  </si>
  <si>
    <t>Oakland</t>
  </si>
  <si>
    <t>Valley Middle School</t>
  </si>
  <si>
    <t>Gregg</t>
  </si>
  <si>
    <t>Desiderio</t>
  </si>
  <si>
    <t>desiderio@oaklandschoolsnj.org</t>
  </si>
  <si>
    <t>71 OAK ST</t>
  </si>
  <si>
    <t>Old Tappan Public School District</t>
  </si>
  <si>
    <t>Charles DeWolf Middle School</t>
  </si>
  <si>
    <t>Santa</t>
  </si>
  <si>
    <t>santaj@nvnet.org</t>
  </si>
  <si>
    <t>275 OLD TAPPAN RD</t>
  </si>
  <si>
    <t>OLD TAPPAN</t>
  </si>
  <si>
    <t>Oradell Public School District</t>
  </si>
  <si>
    <t>Oradell Public School</t>
  </si>
  <si>
    <t>Hawley</t>
  </si>
  <si>
    <t>hawleym@oradellschoo.org</t>
  </si>
  <si>
    <t>350 PROPECT AVENUE</t>
  </si>
  <si>
    <t>ORADELL</t>
  </si>
  <si>
    <t>Palisades Park School District</t>
  </si>
  <si>
    <t>Romero</t>
  </si>
  <si>
    <t>PALISADES PARK</t>
  </si>
  <si>
    <t>Lindbergh Elementary School</t>
  </si>
  <si>
    <t>Phalon</t>
  </si>
  <si>
    <t>pphalon@palpkschools.org</t>
  </si>
  <si>
    <t>401 GLEN AVE</t>
  </si>
  <si>
    <t>Palisades Park Jr-Sr High School</t>
  </si>
  <si>
    <t>agarcia@palpkschools.org</t>
  </si>
  <si>
    <t>VETERANS PLAZA</t>
  </si>
  <si>
    <t>Paramus Public School District</t>
  </si>
  <si>
    <t>East Brook Middle School</t>
  </si>
  <si>
    <t>Aupperlee</t>
  </si>
  <si>
    <t>raupperlee@paramusschools.org</t>
  </si>
  <si>
    <t>190 SPRING VALLEY ROAD</t>
  </si>
  <si>
    <t>Midland Elementary School</t>
  </si>
  <si>
    <t>LoBue</t>
  </si>
  <si>
    <t>tlobue@paramusschools.org</t>
  </si>
  <si>
    <t>241 WEST MIDLAND AVENUE</t>
  </si>
  <si>
    <t>Raymond</t>
  </si>
  <si>
    <t>Ridge Ranch Elementary School</t>
  </si>
  <si>
    <t>Jeanine</t>
  </si>
  <si>
    <t>Nostrame</t>
  </si>
  <si>
    <t>jnostrame@paramusschools.org</t>
  </si>
  <si>
    <t>345 LOCKWOOD DRIVE</t>
  </si>
  <si>
    <t>Laurie</t>
  </si>
  <si>
    <t>Stony Lane Elementary School</t>
  </si>
  <si>
    <t>Marshall</t>
  </si>
  <si>
    <t>tmarshall@paramusschools.org</t>
  </si>
  <si>
    <t>W 110 RIDGEWOOD AVENUE</t>
  </si>
  <si>
    <t>Julia</t>
  </si>
  <si>
    <t>West Brook Middle School</t>
  </si>
  <si>
    <t>Spollen-LaRaia</t>
  </si>
  <si>
    <t>dspollenlaraia@paramusschools.org</t>
  </si>
  <si>
    <t>560 ROOSEVELT BOULEVARD</t>
  </si>
  <si>
    <t>Park Ridge School District</t>
  </si>
  <si>
    <t>East Brook Elementary School</t>
  </si>
  <si>
    <t>Stokes</t>
  </si>
  <si>
    <t>kevinstokes@parkridge.k12.nj.us</t>
  </si>
  <si>
    <t>167 SIBBALD DR</t>
  </si>
  <si>
    <t>PARK RIDGE</t>
  </si>
  <si>
    <t>Ostrowski</t>
  </si>
  <si>
    <t>Park Ridge High School</t>
  </si>
  <si>
    <t>Troy</t>
  </si>
  <si>
    <t>Lederman</t>
  </si>
  <si>
    <t>troylederman@parkridge.k12.nj.us</t>
  </si>
  <si>
    <t>2 PARK AVE</t>
  </si>
  <si>
    <t>West Ridge Elementary School</t>
  </si>
  <si>
    <t>Kirkby</t>
  </si>
  <si>
    <t>chriskirkby@parkridge.k12.nj.us</t>
  </si>
  <si>
    <t>18 South  First Street</t>
  </si>
  <si>
    <t>Pascack Valley Regional High School District</t>
  </si>
  <si>
    <t>Pascack Hills High School</t>
  </si>
  <si>
    <t>Timothy</t>
  </si>
  <si>
    <t>Wieland</t>
  </si>
  <si>
    <t>twieland@pascack.org</t>
  </si>
  <si>
    <t>225 West Grand Avenue</t>
  </si>
  <si>
    <t>Pascack Valley High School</t>
  </si>
  <si>
    <t>Puccio</t>
  </si>
  <si>
    <t>jpuccio@pascack.org</t>
  </si>
  <si>
    <t>200 Piermont Avenue</t>
  </si>
  <si>
    <t>Hillsdale</t>
  </si>
  <si>
    <t>Ramapo Indian Hills Regional High School District</t>
  </si>
  <si>
    <t>Indian Hills High School</t>
  </si>
  <si>
    <t>Gregory</t>
  </si>
  <si>
    <t>Vacca</t>
  </si>
  <si>
    <t>gvacca@rih.org</t>
  </si>
  <si>
    <t>97 YAWPO AVE</t>
  </si>
  <si>
    <t>Ramapo High School</t>
  </si>
  <si>
    <t>Travis</t>
  </si>
  <si>
    <t>tsmith@rih.org</t>
  </si>
  <si>
    <t>331 GEORGE STREET</t>
  </si>
  <si>
    <t>FRANKLIN LAKES</t>
  </si>
  <si>
    <t>Ramsey School District</t>
  </si>
  <si>
    <t>Eric S. Smith Middle School</t>
  </si>
  <si>
    <t>Esdale</t>
  </si>
  <si>
    <t>resdale@ramsey.k12.nj.us</t>
  </si>
  <si>
    <t>2 MONROE STREET</t>
  </si>
  <si>
    <t>RAMSEY</t>
  </si>
  <si>
    <t>John Y Dater Elementary School</t>
  </si>
  <si>
    <t>Glebocki</t>
  </si>
  <si>
    <t>jglebocki@ramsey.k12.nj.us</t>
  </si>
  <si>
    <t>35 SCHOOL STREET</t>
  </si>
  <si>
    <t>Stacey</t>
  </si>
  <si>
    <t>Linzenbold</t>
  </si>
  <si>
    <t>Ramsey High School</t>
  </si>
  <si>
    <t>Thumm</t>
  </si>
  <si>
    <t>mthumm@ramsey.k12.nj.us</t>
  </si>
  <si>
    <t>256 E  MAIN STREET</t>
  </si>
  <si>
    <t>Ridgefield Park Public School District</t>
  </si>
  <si>
    <t>Hernandez</t>
  </si>
  <si>
    <t>nhernandez@rpschools.net</t>
  </si>
  <si>
    <t>104 HENRY ST</t>
  </si>
  <si>
    <t>RIDGEFIELD PARK</t>
  </si>
  <si>
    <t>Stephen</t>
  </si>
  <si>
    <t>Ridgefield Park Jr Sr High School</t>
  </si>
  <si>
    <t>Cavins</t>
  </si>
  <si>
    <t>mcavins@rpschools.net</t>
  </si>
  <si>
    <t>1 OZZIE NELSON DRIVE</t>
  </si>
  <si>
    <t>Ridgefield School District</t>
  </si>
  <si>
    <t>Bergen Boulevard School</t>
  </si>
  <si>
    <t>Mastrangelo</t>
  </si>
  <si>
    <t>pmastrangelo@ridgefieldschools.com</t>
  </si>
  <si>
    <t>635 BERGEN BLVD</t>
  </si>
  <si>
    <t>RIDGEFIELD</t>
  </si>
  <si>
    <t>Ridgefield Memorial High School</t>
  </si>
  <si>
    <t>Vickki</t>
  </si>
  <si>
    <t>Nadler</t>
  </si>
  <si>
    <t>vnadler@ridgefieldschools.com</t>
  </si>
  <si>
    <t>555 WALNUT ST</t>
  </si>
  <si>
    <t>Slocum Skewes School</t>
  </si>
  <si>
    <t>Yang</t>
  </si>
  <si>
    <t>tyang@ridgefieldschools.com</t>
  </si>
  <si>
    <t>650 PROSPECT AVE</t>
  </si>
  <si>
    <t>Ridgewood Public School District</t>
  </si>
  <si>
    <t>Benjamin Franklin Middle School</t>
  </si>
  <si>
    <t>Wisniewski</t>
  </si>
  <si>
    <t>swisniewskii@rpsnj.us</t>
  </si>
  <si>
    <t>335 NORTH VAN DIEN AVE</t>
  </si>
  <si>
    <t>RIDGEWOOD</t>
  </si>
  <si>
    <t>George Washington Middle School</t>
  </si>
  <si>
    <t>Bailey</t>
  </si>
  <si>
    <t>dbailey@rpsnj.us</t>
  </si>
  <si>
    <t>155 WASHINGTON PL</t>
  </si>
  <si>
    <t>Hawes Elementary School</t>
  </si>
  <si>
    <t>Shauna</t>
  </si>
  <si>
    <t>Stovell</t>
  </si>
  <si>
    <t>sstovell@rpsnj.us</t>
  </si>
  <si>
    <t>531 STEVENS AVENUE</t>
  </si>
  <si>
    <t>Orchard Elementary School</t>
  </si>
  <si>
    <t>Ferreri</t>
  </si>
  <si>
    <t>mkferreri@rpsnj.us</t>
  </si>
  <si>
    <t>230 DEMAREST ST</t>
  </si>
  <si>
    <t>Ridge Elementary School</t>
  </si>
  <si>
    <t>Melucci</t>
  </si>
  <si>
    <t>mmelucci@rpsnj.us</t>
  </si>
  <si>
    <t>325 WEST RIDGEWOOD AVE</t>
  </si>
  <si>
    <t>Mitchell</t>
  </si>
  <si>
    <t>Ridgewood High School</t>
  </si>
  <si>
    <t>Nyhuis</t>
  </si>
  <si>
    <t>jnyhuis@rpsnj.us</t>
  </si>
  <si>
    <t>627 EAST RIDGEWOOD AVE</t>
  </si>
  <si>
    <t>Steven</t>
  </si>
  <si>
    <t>Somerville Elementary School</t>
  </si>
  <si>
    <t>Lorna Jane</t>
  </si>
  <si>
    <t>Oates-Santos</t>
  </si>
  <si>
    <t>loates@rpsnj.us</t>
  </si>
  <si>
    <t>45 SOUTH PLEASANT AVE</t>
  </si>
  <si>
    <t>Travell Elementary School</t>
  </si>
  <si>
    <t>Carr</t>
  </si>
  <si>
    <t>lcarr@rpsnj.us</t>
  </si>
  <si>
    <t>340 BOGERT AVE</t>
  </si>
  <si>
    <t>Willard Elementary School</t>
  </si>
  <si>
    <t>Caroline</t>
  </si>
  <si>
    <t>choffman@ridgewood.k12.nj.us</t>
  </si>
  <si>
    <t>601 MORNINGSIDE RD</t>
  </si>
  <si>
    <t>River Dell Regional School District</t>
  </si>
  <si>
    <t>River Dell Middle School</t>
  </si>
  <si>
    <t>Urbanovich</t>
  </si>
  <si>
    <t>robert.urbanovich@riverdell.org</t>
  </si>
  <si>
    <t>230 WOODLAND AVENUE</t>
  </si>
  <si>
    <t>River Edge</t>
  </si>
  <si>
    <t>River Dell Regional High School</t>
  </si>
  <si>
    <t>Pepe</t>
  </si>
  <si>
    <t>brian.pepe@riverdell.org</t>
  </si>
  <si>
    <t>55 PYLE STREET</t>
  </si>
  <si>
    <t>River Edge School District</t>
  </si>
  <si>
    <t>Cherry Hill School</t>
  </si>
  <si>
    <t>Denise</t>
  </si>
  <si>
    <t>Heitman</t>
  </si>
  <si>
    <t>heitmand@riveredgeschools.org</t>
  </si>
  <si>
    <t>410 BOGERT RD</t>
  </si>
  <si>
    <t>RIVER EDGE</t>
  </si>
  <si>
    <t>Grimshaw</t>
  </si>
  <si>
    <t>River Vale Public School District</t>
  </si>
  <si>
    <t>Holdrum Middle School</t>
  </si>
  <si>
    <t>Cody</t>
  </si>
  <si>
    <t>jcody@rivervaleschools.com</t>
  </si>
  <si>
    <t>393 RIVERVALE ROAD</t>
  </si>
  <si>
    <t>RIVER VALE</t>
  </si>
  <si>
    <t>Deborah</t>
  </si>
  <si>
    <t>Roberge Elementary School</t>
  </si>
  <si>
    <t>Wren</t>
  </si>
  <si>
    <t>swren@rivervaleschools.com</t>
  </si>
  <si>
    <t>617 WESTWOOD AVE</t>
  </si>
  <si>
    <t>Woodside Elementary School</t>
  </si>
  <si>
    <t>Jasper</t>
  </si>
  <si>
    <t>jjasper@rivervaleschools.com</t>
  </si>
  <si>
    <t>801 RIVERVALE RD</t>
  </si>
  <si>
    <t>Courtney</t>
  </si>
  <si>
    <t>Rutherford School District</t>
  </si>
  <si>
    <t>Jeanna</t>
  </si>
  <si>
    <t>Velechko</t>
  </si>
  <si>
    <t>jvelechko@rutherfordschools.org</t>
  </si>
  <si>
    <t>414 MONTROSS AVENUE</t>
  </si>
  <si>
    <t>RUTHERFORD</t>
  </si>
  <si>
    <t>Pierrepont School</t>
  </si>
  <si>
    <t>Joan</t>
  </si>
  <si>
    <t>Carrion</t>
  </si>
  <si>
    <t>jcarrion@rutherfordschools.org</t>
  </si>
  <si>
    <t>70 E PIERREPONT AVE</t>
  </si>
  <si>
    <t>Antoniello</t>
  </si>
  <si>
    <t>Rutherford High School</t>
  </si>
  <si>
    <t>Morano</t>
  </si>
  <si>
    <t>fmorano@rutherfordschools.org</t>
  </si>
  <si>
    <t>56 ELLIOTT PL</t>
  </si>
  <si>
    <t>Olivia</t>
  </si>
  <si>
    <t>Union School</t>
  </si>
  <si>
    <t>Kurt</t>
  </si>
  <si>
    <t>Schweitzer</t>
  </si>
  <si>
    <t>kschweitzer@rutherfordschools.org</t>
  </si>
  <si>
    <t>359 UNION AVE</t>
  </si>
  <si>
    <t>Romano</t>
  </si>
  <si>
    <t>Saddle Brook School District</t>
  </si>
  <si>
    <t>Robinson</t>
  </si>
  <si>
    <t>jrobinson@sbpsnj.org</t>
  </si>
  <si>
    <t>95 CALDWELL AVENUE</t>
  </si>
  <si>
    <t>SADDLE BROOK</t>
  </si>
  <si>
    <t>Helen I. Smith School</t>
  </si>
  <si>
    <t>Wunder</t>
  </si>
  <si>
    <t>dwunder@sbpsnj.org</t>
  </si>
  <si>
    <t>30 CAMBRIDGE AVENUE</t>
  </si>
  <si>
    <t>Saddle Brook Middle/High School</t>
  </si>
  <si>
    <t>Brenda</t>
  </si>
  <si>
    <t>Coffey</t>
  </si>
  <si>
    <t>bcoffey@sbpsnj.org</t>
  </si>
  <si>
    <t>355 MAYHILL STREET</t>
  </si>
  <si>
    <t>Osborne</t>
  </si>
  <si>
    <t>Salome H. Long Memorial School</t>
  </si>
  <si>
    <t>Jacquelyn</t>
  </si>
  <si>
    <t>Mansfield</t>
  </si>
  <si>
    <t>jmansfield@sbpsnj.org</t>
  </si>
  <si>
    <t>260 FLORAL LANE</t>
  </si>
  <si>
    <t>Brooke</t>
  </si>
  <si>
    <t>Byrne</t>
  </si>
  <si>
    <t>South  Bergen Jointure Commission School District</t>
  </si>
  <si>
    <t>Lodi MS HS</t>
  </si>
  <si>
    <t>Ken</t>
  </si>
  <si>
    <t>Rota</t>
  </si>
  <si>
    <t>Interim Principal</t>
  </si>
  <si>
    <t>krota@njsbjc.org</t>
  </si>
  <si>
    <t>123 UNION ST</t>
  </si>
  <si>
    <t>Moonachie Campus</t>
  </si>
  <si>
    <t>Holly</t>
  </si>
  <si>
    <t>Ehle</t>
  </si>
  <si>
    <t>hehle@njsbjc.org</t>
  </si>
  <si>
    <t>Moonachie</t>
  </si>
  <si>
    <t>Teaneck School District</t>
  </si>
  <si>
    <t>Terrence</t>
  </si>
  <si>
    <t>twilliams@teaneckschools.org</t>
  </si>
  <si>
    <t>1315 TAFT ROAD</t>
  </si>
  <si>
    <t>TEANECK</t>
  </si>
  <si>
    <t>James Russell Lowell Elementary School</t>
  </si>
  <si>
    <t>Pedro</t>
  </si>
  <si>
    <t>Valdes III</t>
  </si>
  <si>
    <t>pvaldes@teaneckschools.org</t>
  </si>
  <si>
    <t>1025 LINCOLN PLACE</t>
  </si>
  <si>
    <t>John Greenleaf Whittier Elementary School</t>
  </si>
  <si>
    <t>Nussbaum</t>
  </si>
  <si>
    <t>dnussbaum@teaneckschools.org</t>
  </si>
  <si>
    <t>491 W ENGLEWOOD AVENUE</t>
  </si>
  <si>
    <t>Nathaniel Hawthorne Elementary School</t>
  </si>
  <si>
    <t>Emilio</t>
  </si>
  <si>
    <t>ejennette@teaneckschools.org</t>
  </si>
  <si>
    <t>201 FYCKE LANE</t>
  </si>
  <si>
    <t>Teaneck High School</t>
  </si>
  <si>
    <t>Piero</t>
  </si>
  <si>
    <t>LoGiudice</t>
  </si>
  <si>
    <t>plogiudice@teaneckschools.org</t>
  </si>
  <si>
    <t>100 ELIZABETH AVE</t>
  </si>
  <si>
    <t>Susie</t>
  </si>
  <si>
    <t>King</t>
  </si>
  <si>
    <t>Odatalla</t>
  </si>
  <si>
    <t>nodatalla@teaneckschools.org</t>
  </si>
  <si>
    <t>655 TEANECK RD</t>
  </si>
  <si>
    <t>Tenafly Public School District</t>
  </si>
  <si>
    <t>J Spencer Smith School</t>
  </si>
  <si>
    <t>Daryl</t>
  </si>
  <si>
    <t>dgeorge@tenafly.k12.nj.us</t>
  </si>
  <si>
    <t>101 DOWNEY DRIVE</t>
  </si>
  <si>
    <t>TENAFLY</t>
  </si>
  <si>
    <t>Malcolm S Mackay School</t>
  </si>
  <si>
    <t>Heidi</t>
  </si>
  <si>
    <t>Chizzik</t>
  </si>
  <si>
    <t>hchizzik@tenafly.k12.nj.us</t>
  </si>
  <si>
    <t>111 JEFFERSON AVENUE</t>
  </si>
  <si>
    <t>Ralph S Maugham School</t>
  </si>
  <si>
    <t>Ferrara</t>
  </si>
  <si>
    <t>jferrara@tenafly.k12.nj.us</t>
  </si>
  <si>
    <t>111 MAGNOLIA AVENUE</t>
  </si>
  <si>
    <t>Tenafly High School</t>
  </si>
  <si>
    <t>jmorrison@tenafly.k12.nj.us</t>
  </si>
  <si>
    <t>19 COLUMBUS DRIVE</t>
  </si>
  <si>
    <t>Tenafly Middle School</t>
  </si>
  <si>
    <t>Fabbo</t>
  </si>
  <si>
    <t>jfabbo@tenafly.k12.nj.us</t>
  </si>
  <si>
    <t>10 SUNSET LANE</t>
  </si>
  <si>
    <t>Walter Stillman School</t>
  </si>
  <si>
    <t>Gayle</t>
  </si>
  <si>
    <t>Lander</t>
  </si>
  <si>
    <t>glander@tenafly.k12.nj.us</t>
  </si>
  <si>
    <t>75 TENAFLY ROAD</t>
  </si>
  <si>
    <t>Upper Saddle River School District</t>
  </si>
  <si>
    <t>Edith A. Bogert Elementary School</t>
  </si>
  <si>
    <t>Kaplan</t>
  </si>
  <si>
    <t>dkaplan@usrschoolsk8.com</t>
  </si>
  <si>
    <t>391 W  SADDLE RIVER RD</t>
  </si>
  <si>
    <t>UPPER SADDLE RIVER</t>
  </si>
  <si>
    <t>Emil A. Cavallini Middle School</t>
  </si>
  <si>
    <t>McCusker</t>
  </si>
  <si>
    <t>jmccusker@usrschoolsk8.com</t>
  </si>
  <si>
    <t>392 W  SADDLE RIVER RD</t>
  </si>
  <si>
    <t>Robert D Reynolds Primary School</t>
  </si>
  <si>
    <t>Devin</t>
  </si>
  <si>
    <t>Severs</t>
  </si>
  <si>
    <t>dsevers@usrschoolsk8.com</t>
  </si>
  <si>
    <t>Waldwick School District</t>
  </si>
  <si>
    <t>Crescent Elementary School</t>
  </si>
  <si>
    <t>Cannici</t>
  </si>
  <si>
    <t>cannicib@waldwickschools.org</t>
  </si>
  <si>
    <t>165 CRESCENT AVENUE</t>
  </si>
  <si>
    <t>WALDWICK</t>
  </si>
  <si>
    <t>Waldwick High School</t>
  </si>
  <si>
    <t>Carroll</t>
  </si>
  <si>
    <t>carrollk@waldwickschools.org</t>
  </si>
  <si>
    <t>155 WYCKOFF AVENUE</t>
  </si>
  <si>
    <t>Waldwick Middle School</t>
  </si>
  <si>
    <t>Meyers</t>
  </si>
  <si>
    <t>meyersm@waldwickschools.org</t>
  </si>
  <si>
    <t>Wallington Boro School District</t>
  </si>
  <si>
    <t>Frank W. Gavlak Elementary School</t>
  </si>
  <si>
    <t>Helen</t>
  </si>
  <si>
    <t>Guarente</t>
  </si>
  <si>
    <t>guarente@wboe.org</t>
  </si>
  <si>
    <t>106 KING ST</t>
  </si>
  <si>
    <t>WALLINGTON</t>
  </si>
  <si>
    <t>Jefferson (Annex) Elementary School</t>
  </si>
  <si>
    <t>Luterzo</t>
  </si>
  <si>
    <t>luterzo@wboe.org</t>
  </si>
  <si>
    <t>6 Bond Street</t>
  </si>
  <si>
    <t>Wallington Junior Senior High School</t>
  </si>
  <si>
    <t>Fred</t>
  </si>
  <si>
    <t>Fromfield</t>
  </si>
  <si>
    <t>fromfield@wboe.org</t>
  </si>
  <si>
    <t>234 MAIN AVE</t>
  </si>
  <si>
    <t>Westwood Regional School District</t>
  </si>
  <si>
    <t>Berkeley Elementary</t>
  </si>
  <si>
    <t>Fiorello</t>
  </si>
  <si>
    <t>michael.fiorello@wwrsd.org</t>
  </si>
  <si>
    <t>47 BERKELEY AVE</t>
  </si>
  <si>
    <t>WESTWOOD</t>
  </si>
  <si>
    <t>Brookside Elementary School</t>
  </si>
  <si>
    <t>Hughes</t>
  </si>
  <si>
    <t>kelly.hughes@wwrsd.org</t>
  </si>
  <si>
    <t>20 LAKE DRIVE</t>
  </si>
  <si>
    <t>Jessie F. George Elementary</t>
  </si>
  <si>
    <t>Scaduto</t>
  </si>
  <si>
    <t>christina.scaduto@wwrsd.org</t>
  </si>
  <si>
    <t>1 PALM STREET</t>
  </si>
  <si>
    <t>TOWNSHIP OF WASHINGTON</t>
  </si>
  <si>
    <t>Rebecca</t>
  </si>
  <si>
    <t>Westwood Regional Middle School</t>
  </si>
  <si>
    <t>Suntino</t>
  </si>
  <si>
    <t>nicole.suntino@wwrsd.org</t>
  </si>
  <si>
    <t>23 THIRD AVENUE</t>
  </si>
  <si>
    <t>Wood-Ridge School District</t>
  </si>
  <si>
    <t>WOOD  RIDGE</t>
  </si>
  <si>
    <t>Wood-Ridge Intermediate School</t>
  </si>
  <si>
    <t>klisa@wood-ridgeschools.org</t>
  </si>
  <si>
    <t>151 FIRST STREET</t>
  </si>
  <si>
    <t>WOOD-RIDGE</t>
  </si>
  <si>
    <t>Wood-Ridge Jr/Sr High School</t>
  </si>
  <si>
    <t>Sivlia</t>
  </si>
  <si>
    <t>sruiz@wood-ridgeschools.org</t>
  </si>
  <si>
    <t>258 HACKENSACK ST</t>
  </si>
  <si>
    <t>Woodcliff Lake School District</t>
  </si>
  <si>
    <t>Stefanie</t>
  </si>
  <si>
    <t>WOODCLIFF LAKE</t>
  </si>
  <si>
    <t>Woodcliff Middle School</t>
  </si>
  <si>
    <t>Andriulli</t>
  </si>
  <si>
    <t>mandriulli@woodcliff-lake.com</t>
  </si>
  <si>
    <t>134 WOODCLIFF AVE</t>
  </si>
  <si>
    <t>Jackson</t>
  </si>
  <si>
    <t>Wyckoff Township Public School District</t>
  </si>
  <si>
    <t>Abraham Lincoln Elementary School</t>
  </si>
  <si>
    <t>plee@wyckoffschools.org</t>
  </si>
  <si>
    <t>325 MASON AVE</t>
  </si>
  <si>
    <t>WYCKOFF</t>
  </si>
  <si>
    <t>Calvin Coolidge Elementary School</t>
  </si>
  <si>
    <t>Famularo</t>
  </si>
  <si>
    <t>rfamularo@wyckoffschools.org</t>
  </si>
  <si>
    <t>420 GRANDVIEW AVE</t>
  </si>
  <si>
    <t>Anne</t>
  </si>
  <si>
    <t>Dwight D. Eisenhower Middle School</t>
  </si>
  <si>
    <t>Faehndrich</t>
  </si>
  <si>
    <t>bfaehndrich@wyckoffschools.org</t>
  </si>
  <si>
    <t>344 CALVIN CT</t>
  </si>
  <si>
    <t>Dobson</t>
  </si>
  <si>
    <t>Gonzalez</t>
  </si>
  <si>
    <t>Sicomac Elementary School</t>
  </si>
  <si>
    <t>Raimo</t>
  </si>
  <si>
    <t>sraimo@wyckoffschools.org</t>
  </si>
  <si>
    <t>356 SICOMAC AVE</t>
  </si>
  <si>
    <t>BURLINGTON</t>
  </si>
  <si>
    <t>Elizabeth</t>
  </si>
  <si>
    <t>Bordentown Regional School District</t>
  </si>
  <si>
    <t>Bordentown Regional High School</t>
  </si>
  <si>
    <t>Walder</t>
  </si>
  <si>
    <t>rwalder@bordentown.k12.nj.us</t>
  </si>
  <si>
    <t>318 WARD AVE</t>
  </si>
  <si>
    <t>BORDENTOWN</t>
  </si>
  <si>
    <t>Bordentown Regional Middle School</t>
  </si>
  <si>
    <t>Sprague</t>
  </si>
  <si>
    <t>jsprague@bordentown.k12.nj.us</t>
  </si>
  <si>
    <t>50 DUNNS MILL ROAD</t>
  </si>
  <si>
    <t>Mac Farland Intermediate</t>
  </si>
  <si>
    <t>Riether</t>
  </si>
  <si>
    <t>driether@bordentown.k12.nj.us</t>
  </si>
  <si>
    <t>87 CROSSWICKS ST</t>
  </si>
  <si>
    <t>Burlington City Public School District</t>
  </si>
  <si>
    <t>Burlington City High School</t>
  </si>
  <si>
    <t>Juan</t>
  </si>
  <si>
    <t>Arbelaez</t>
  </si>
  <si>
    <t>jarbelaez@burlington-nj.net</t>
  </si>
  <si>
    <t>100 Blue Devil Way</t>
  </si>
  <si>
    <t>Megan</t>
  </si>
  <si>
    <t>Captain James Lawrence Elementary School</t>
  </si>
  <si>
    <t>Marilyn</t>
  </si>
  <si>
    <t>Dunham</t>
  </si>
  <si>
    <t>mdunham@burlington-nj.net</t>
  </si>
  <si>
    <t>315 BARCLAY ST</t>
  </si>
  <si>
    <t>Wilbur Watts Intermediate School</t>
  </si>
  <si>
    <t>Shappell</t>
  </si>
  <si>
    <t>rshappell@burlington-nj.net</t>
  </si>
  <si>
    <t>550 HIGH STREET</t>
  </si>
  <si>
    <t>Burlington County Institute of Technology School District</t>
  </si>
  <si>
    <t>Jesse</t>
  </si>
  <si>
    <t>695 Woodlane Road</t>
  </si>
  <si>
    <t>Westampton</t>
  </si>
  <si>
    <t>Burlington County Institute of Technology - Medford</t>
  </si>
  <si>
    <t>mparker@burlcoschools.org</t>
  </si>
  <si>
    <t>10 Hawkin Road</t>
  </si>
  <si>
    <t>Medford</t>
  </si>
  <si>
    <t>Jeff</t>
  </si>
  <si>
    <t>Burlington County Institute of Technology - Westampton</t>
  </si>
  <si>
    <t>Venuto</t>
  </si>
  <si>
    <t>jvenuto@burlcoschools.org</t>
  </si>
  <si>
    <t>Colleen</t>
  </si>
  <si>
    <t>Burlington County Special Services School District</t>
  </si>
  <si>
    <t>Burlington County Alternative High School</t>
  </si>
  <si>
    <t>Barbagiovanni-Fornes</t>
  </si>
  <si>
    <t>jbarbagiocanni@burlcoschools.org</t>
  </si>
  <si>
    <t>1020 Briggs Road</t>
  </si>
  <si>
    <t>Mt. Laurel</t>
  </si>
  <si>
    <t>Leigh</t>
  </si>
  <si>
    <t>WESTAMPTON</t>
  </si>
  <si>
    <t>Burlington Township School District</t>
  </si>
  <si>
    <t>Catherine</t>
  </si>
  <si>
    <t>Burlington Township High School</t>
  </si>
  <si>
    <t>Phillip</t>
  </si>
  <si>
    <t>Brownridge</t>
  </si>
  <si>
    <t>pbrownridge@burltwpsch.org</t>
  </si>
  <si>
    <t>610 FOUNTAIN AVENUE</t>
  </si>
  <si>
    <t>Burlington Township Middle School at Springside</t>
  </si>
  <si>
    <t>Matthew</t>
  </si>
  <si>
    <t>Andris</t>
  </si>
  <si>
    <t>mandris@burltwpsch.org</t>
  </si>
  <si>
    <t>1600 BURLINGTON BY  PASS</t>
  </si>
  <si>
    <t>Fountain Woods Elementary School</t>
  </si>
  <si>
    <t>April</t>
  </si>
  <si>
    <t>Gittens</t>
  </si>
  <si>
    <t>agittens@burltwpsch.org</t>
  </si>
  <si>
    <t>601 FOUNTAIN AVENUE</t>
  </si>
  <si>
    <t>Chesterfield Township School District</t>
  </si>
  <si>
    <t>Chesterfield Township Elementary School</t>
  </si>
  <si>
    <t>Coletta</t>
  </si>
  <si>
    <t>Graham</t>
  </si>
  <si>
    <t>cgraham@chesterfieldschool.com</t>
  </si>
  <si>
    <t>30 Saddle Way</t>
  </si>
  <si>
    <t>Chesterfield</t>
  </si>
  <si>
    <t>Cinnaminson Township School District</t>
  </si>
  <si>
    <t>Cinnaminson High School</t>
  </si>
  <si>
    <t>Gorman</t>
  </si>
  <si>
    <t>gormanr@cinnaminson.com</t>
  </si>
  <si>
    <t>1197 RIVERTON ROAD</t>
  </si>
  <si>
    <t>CINNAMINSON</t>
  </si>
  <si>
    <t>Cinnaminson Middle School</t>
  </si>
  <si>
    <t>Melcher</t>
  </si>
  <si>
    <t>melcherk@cinnaminson.com</t>
  </si>
  <si>
    <t>312 N  FORKLANDING ROAD</t>
  </si>
  <si>
    <t>Eleanor Rush Intermediate School</t>
  </si>
  <si>
    <t>DiSimone</t>
  </si>
  <si>
    <t>disimonek@cinnaminson.com</t>
  </si>
  <si>
    <t>1200 WYNWOOD DRIVE</t>
  </si>
  <si>
    <t>New Albany Elementary School</t>
  </si>
  <si>
    <t>jonesv@cinnaminson.com</t>
  </si>
  <si>
    <t>2701 NEW ALBANY ROAD</t>
  </si>
  <si>
    <t>Delanco Township School District</t>
  </si>
  <si>
    <t>M. Joan Pearson School</t>
  </si>
  <si>
    <t>Barry</t>
  </si>
  <si>
    <t>Saide</t>
  </si>
  <si>
    <t>bsaide@delanco.com</t>
  </si>
  <si>
    <t>1301 BURLINGTON AVE</t>
  </si>
  <si>
    <t>DELANCO</t>
  </si>
  <si>
    <t>Vacant</t>
  </si>
  <si>
    <t>Delran Township School District</t>
  </si>
  <si>
    <t>Delran High School</t>
  </si>
  <si>
    <t>Stolarick</t>
  </si>
  <si>
    <t>bstolarick@delranschools.org</t>
  </si>
  <si>
    <t>50 HARTFORD ROAD</t>
  </si>
  <si>
    <t>DELRAN</t>
  </si>
  <si>
    <t>Delran Intermediate School</t>
  </si>
  <si>
    <t>Hickson</t>
  </si>
  <si>
    <t>khickson@delranschools.org</t>
  </si>
  <si>
    <t>20 CREEK ROAD</t>
  </si>
  <si>
    <t>Brett</t>
  </si>
  <si>
    <t>Delran Middle School</t>
  </si>
  <si>
    <t>bsaide@delranschools.orgranschools.org</t>
  </si>
  <si>
    <t>905 CHESTER AVENUE</t>
  </si>
  <si>
    <t>Millbridge Elementary School</t>
  </si>
  <si>
    <t>Stacy</t>
  </si>
  <si>
    <t>smurphy@delranschools.org</t>
  </si>
  <si>
    <t>282 CONROW ROAD</t>
  </si>
  <si>
    <t>Edgewater Park Township School District</t>
  </si>
  <si>
    <t>EDGEWATER PARK</t>
  </si>
  <si>
    <t>Samuel M Ridgway Middle School</t>
  </si>
  <si>
    <t>Ronald</t>
  </si>
  <si>
    <t>Trampe</t>
  </si>
  <si>
    <t>rtrampe@edgewaterparksd.org</t>
  </si>
  <si>
    <t>300 DELANCO RD</t>
  </si>
  <si>
    <t>Evesham Township School District</t>
  </si>
  <si>
    <t>Frances DeMasi Elementary School</t>
  </si>
  <si>
    <t>Beverly</t>
  </si>
  <si>
    <t>Green</t>
  </si>
  <si>
    <t>greenb@evesham.k12.nj.us</t>
  </si>
  <si>
    <t>199 EVESBORO  MEDFORD RD</t>
  </si>
  <si>
    <t>MARLTON</t>
  </si>
  <si>
    <t>Frances DeMasi Middle School</t>
  </si>
  <si>
    <t>Helen L Beeler</t>
  </si>
  <si>
    <t>Mahlman</t>
  </si>
  <si>
    <t>Mahlmanr@evesham.k12.nj.us</t>
  </si>
  <si>
    <t>60 CALDWELL AVE</t>
  </si>
  <si>
    <t>Long</t>
  </si>
  <si>
    <t>J Harold Van Zant</t>
  </si>
  <si>
    <t>DiBlasi</t>
  </si>
  <si>
    <t>Diblasin@evesham.k12.nj.us</t>
  </si>
  <si>
    <t>270 CONESTOGA DRIVE</t>
  </si>
  <si>
    <t>Marlton Elementary</t>
  </si>
  <si>
    <t>Traci</t>
  </si>
  <si>
    <t>Bowles</t>
  </si>
  <si>
    <t>bowlst@evesham.k12.nj.us</t>
  </si>
  <si>
    <t>190 TOMLINSON MILL ROAD</t>
  </si>
  <si>
    <t>Marlton Middle</t>
  </si>
  <si>
    <t>Gary</t>
  </si>
  <si>
    <t>hoffmang@evesham.k12.nj.us</t>
  </si>
  <si>
    <t>150 TOMLINSON MILL ROAD</t>
  </si>
  <si>
    <t>Mason</t>
  </si>
  <si>
    <t>Robert B Jaggard School</t>
  </si>
  <si>
    <t>Marnee</t>
  </si>
  <si>
    <t>Morris</t>
  </si>
  <si>
    <t>Morrism@evesham.k12.nj.us</t>
  </si>
  <si>
    <t>2 WESTCOTT ROAD</t>
  </si>
  <si>
    <t>Pierce</t>
  </si>
  <si>
    <t>Florence Township School District</t>
  </si>
  <si>
    <t>Dale</t>
  </si>
  <si>
    <t>Florence Township Memorial High School</t>
  </si>
  <si>
    <t>Cogan</t>
  </si>
  <si>
    <t>jcogan@florence.k12.nj.us</t>
  </si>
  <si>
    <t>1050 CEDAR LANE</t>
  </si>
  <si>
    <t>Fisher</t>
  </si>
  <si>
    <t>Lenape Regional High School District</t>
  </si>
  <si>
    <t>Cherokee High School</t>
  </si>
  <si>
    <t>Charlesworth</t>
  </si>
  <si>
    <t>dcharlesworth@lrhsd.org</t>
  </si>
  <si>
    <t>120 TOMLINSON MILL ROAD</t>
  </si>
  <si>
    <t>Shannon</t>
  </si>
  <si>
    <t>Lenape High School</t>
  </si>
  <si>
    <t>Tony</t>
  </si>
  <si>
    <t>Cattani</t>
  </si>
  <si>
    <t>vcattani@lrhsd.org</t>
  </si>
  <si>
    <t>235 HARTFORD ROAD</t>
  </si>
  <si>
    <t>MEDFORD</t>
  </si>
  <si>
    <t>Seneca High School</t>
  </si>
  <si>
    <t>Brad</t>
  </si>
  <si>
    <t>Bauer</t>
  </si>
  <si>
    <t>bbauer@lrhsd.org</t>
  </si>
  <si>
    <t>110 CARRANZA ROAD</t>
  </si>
  <si>
    <t>TABERNACLE</t>
  </si>
  <si>
    <t>Shawnee High School</t>
  </si>
  <si>
    <t>Campbell</t>
  </si>
  <si>
    <t>mcampbell@lrhsd.org</t>
  </si>
  <si>
    <t>600 TABERNACLE ROAD</t>
  </si>
  <si>
    <t>Lumberton Township Board of Education</t>
  </si>
  <si>
    <t>LUMBERTON</t>
  </si>
  <si>
    <t>Lisely</t>
  </si>
  <si>
    <t>lmendez@lumberton.k12.nj.us</t>
  </si>
  <si>
    <t>32 DIMSDALE DRIVE</t>
  </si>
  <si>
    <t>Lumberton Middle School</t>
  </si>
  <si>
    <t>rbrown@lumberton.k12.nj.us</t>
  </si>
  <si>
    <t>30 DIMSDALE DRIVE</t>
  </si>
  <si>
    <t>Mansfield Township School District</t>
  </si>
  <si>
    <t>COLUMBUS</t>
  </si>
  <si>
    <t>Mansfield Township Elementary School</t>
  </si>
  <si>
    <t>Kershner</t>
  </si>
  <si>
    <t>gkershner@mansfieldschool.com</t>
  </si>
  <si>
    <t>200 MANSFIELD ROAD EAST</t>
  </si>
  <si>
    <t>Maple Shade School District</t>
  </si>
  <si>
    <t>MAPLE SHADE</t>
  </si>
  <si>
    <t>Maple Shade High School</t>
  </si>
  <si>
    <t>La Grou</t>
  </si>
  <si>
    <t>mlagrou@msemail.org</t>
  </si>
  <si>
    <t>180 Frederick Ave</t>
  </si>
  <si>
    <t>Maude M. Wilkins Elementary School</t>
  </si>
  <si>
    <t>Ormsby</t>
  </si>
  <si>
    <t>sormsby@msemail.org</t>
  </si>
  <si>
    <t>34 WEST MILL ROAD</t>
  </si>
  <si>
    <t>Ralph J. Steinhauer Elementary School</t>
  </si>
  <si>
    <t>cedwards@msemail.org</t>
  </si>
  <si>
    <t>25 NORTH FELLOWSHIP ROAD</t>
  </si>
  <si>
    <t>Christian</t>
  </si>
  <si>
    <t>Medford Lakes School District</t>
  </si>
  <si>
    <t>Neeta School</t>
  </si>
  <si>
    <t>Dent</t>
  </si>
  <si>
    <t>adent@medford-lakes.k12.nj.us</t>
  </si>
  <si>
    <t>44 Neeta Trail</t>
  </si>
  <si>
    <t>Medford Lakes</t>
  </si>
  <si>
    <t>Hannah</t>
  </si>
  <si>
    <t>Nokomis School</t>
  </si>
  <si>
    <t>135 Mudjekeewis Trail</t>
  </si>
  <si>
    <t>Medford Township School District</t>
  </si>
  <si>
    <t>Haines Sixth Grade Center</t>
  </si>
  <si>
    <t>Vitella</t>
  </si>
  <si>
    <t>svitella@medfordschools.net</t>
  </si>
  <si>
    <t>162 STOKES ROAD</t>
  </si>
  <si>
    <t>Sheila</t>
  </si>
  <si>
    <t>Shawn</t>
  </si>
  <si>
    <t>Moorestown Township Public School District</t>
  </si>
  <si>
    <t>George C. Baker Elementary School</t>
  </si>
  <si>
    <t>Rowe</t>
  </si>
  <si>
    <t>mrowe@mtps.com</t>
  </si>
  <si>
    <t>139 W  MAPLE AVE</t>
  </si>
  <si>
    <t>MOORESTOWN</t>
  </si>
  <si>
    <t>Carter</t>
  </si>
  <si>
    <t>Mindy</t>
  </si>
  <si>
    <t>Moorestown High School</t>
  </si>
  <si>
    <t>Seibel</t>
  </si>
  <si>
    <t>aseibel@mtps.com</t>
  </si>
  <si>
    <t>350 BRIDGEBORO ROAD</t>
  </si>
  <si>
    <t>Moorestown Upper Elementary School</t>
  </si>
  <si>
    <t>Jablonski</t>
  </si>
  <si>
    <t>ljablonski@mtps.com</t>
  </si>
  <si>
    <t>325 BORTON LANDING ROAD</t>
  </si>
  <si>
    <t>South Valley Elementary School</t>
  </si>
  <si>
    <t>Hackl</t>
  </si>
  <si>
    <t>hhackl@mtps.com</t>
  </si>
  <si>
    <t>210 S  STANWICK RD</t>
  </si>
  <si>
    <t>William Allen Middle School</t>
  </si>
  <si>
    <t>Cheri</t>
  </si>
  <si>
    <t>Caravano</t>
  </si>
  <si>
    <t>ccaravano@mtps.com</t>
  </si>
  <si>
    <t>801 N  STANWICK ROAD</t>
  </si>
  <si>
    <t>Mount Holly Township Public School District</t>
  </si>
  <si>
    <t>F. W. Holbein Middle School</t>
  </si>
  <si>
    <t>Finn</t>
  </si>
  <si>
    <t>dfinn@mtholly.k12.nj.us</t>
  </si>
  <si>
    <t>333 LEVIS DRIVE</t>
  </si>
  <si>
    <t>MOUNT HOLLY</t>
  </si>
  <si>
    <t>Gertrude C. Folwell Elementary School</t>
  </si>
  <si>
    <t>Braddock</t>
  </si>
  <si>
    <t>tbraddock@mtholly.k12.nj.us</t>
  </si>
  <si>
    <t>455 JACKSONVILLE RD</t>
  </si>
  <si>
    <t>Mount Laurel Township School District</t>
  </si>
  <si>
    <t>Countryside Elementary School</t>
  </si>
  <si>
    <t>Zataveski</t>
  </si>
  <si>
    <t>lzataveski@mtlaurelschools.org</t>
  </si>
  <si>
    <t>115 SCHOOLHOUSE LANE</t>
  </si>
  <si>
    <t>MOUNT LAUREL</t>
  </si>
  <si>
    <t>Switzer</t>
  </si>
  <si>
    <t>Hartford Upper Elementary School</t>
  </si>
  <si>
    <t>Marques</t>
  </si>
  <si>
    <t>Stanard</t>
  </si>
  <si>
    <t>mstanard@mountlaurel.k12.nj.us</t>
  </si>
  <si>
    <t>397 HARTFORD ROAD</t>
  </si>
  <si>
    <t>Sonnie</t>
  </si>
  <si>
    <t>ssonnie@mtlaurelschools.org</t>
  </si>
  <si>
    <t>1370 HAINESPORT MT LAUREL RD</t>
  </si>
  <si>
    <t>Clark</t>
  </si>
  <si>
    <t>T. E. Harrington Middle School</t>
  </si>
  <si>
    <t>Drew</t>
  </si>
  <si>
    <t>Besler</t>
  </si>
  <si>
    <t>dbesler@mtlaurelschools.org</t>
  </si>
  <si>
    <t>514 MOUNT LAUREL ROAD</t>
  </si>
  <si>
    <t>WRIGHTSTOWN</t>
  </si>
  <si>
    <t>North Hanover Township School District</t>
  </si>
  <si>
    <t>Paterson</t>
  </si>
  <si>
    <t>Tara</t>
  </si>
  <si>
    <t>Castillo</t>
  </si>
  <si>
    <t>North Hanover Township Upper Elementary School</t>
  </si>
  <si>
    <t>Wawryk</t>
  </si>
  <si>
    <t>awawryk@nhanover.com</t>
  </si>
  <si>
    <t>351 MONMOUTH ROAD</t>
  </si>
  <si>
    <t>Northern Burlington County Regional School District</t>
  </si>
  <si>
    <t>Northern Burlington County Regional High School</t>
  </si>
  <si>
    <t>slopez@nburlington.com</t>
  </si>
  <si>
    <t>160 MANSFIELD ROAD EAST</t>
  </si>
  <si>
    <t>Northern Burlington County Regional Middle School</t>
  </si>
  <si>
    <t>Kearns</t>
  </si>
  <si>
    <t>akearns@nburlington.com</t>
  </si>
  <si>
    <t>180 MANSFIELD ROAD  EAST</t>
  </si>
  <si>
    <t>Kyle</t>
  </si>
  <si>
    <t>Palmyra Public School District</t>
  </si>
  <si>
    <t>Charles Street School</t>
  </si>
  <si>
    <t>Octavia</t>
  </si>
  <si>
    <t>olee@palmyra.k12.nj.us</t>
  </si>
  <si>
    <t>100 W  CHARLES STREET</t>
  </si>
  <si>
    <t>PALMYRA</t>
  </si>
  <si>
    <t>Palmyra</t>
  </si>
  <si>
    <t>Palmyra High School</t>
  </si>
  <si>
    <t>Licata</t>
  </si>
  <si>
    <t>dlicata@palmyra.k12.nj.us</t>
  </si>
  <si>
    <t>311 W 5TH STREET</t>
  </si>
  <si>
    <t>Palmyra Middle School</t>
  </si>
  <si>
    <t>Pemberton Township School District</t>
  </si>
  <si>
    <t>Denbo Crichton School</t>
  </si>
  <si>
    <t>Thorp</t>
  </si>
  <si>
    <t>bthorp@pemb.org</t>
  </si>
  <si>
    <t>Two Learning Way</t>
  </si>
  <si>
    <t>Browns Mills</t>
  </si>
  <si>
    <t>Helen A. Fort Middle School</t>
  </si>
  <si>
    <t>Aaron</t>
  </si>
  <si>
    <t>Eyler</t>
  </si>
  <si>
    <t>aeyler@pemb.org</t>
  </si>
  <si>
    <t>101 FORT DIX ROAD</t>
  </si>
  <si>
    <t>PEMBERTON</t>
  </si>
  <si>
    <t>Alexander</t>
  </si>
  <si>
    <t>Howard L. Emmons</t>
  </si>
  <si>
    <t>jschmidt@pemb.org</t>
  </si>
  <si>
    <t>14 SCRAPETOWN ROAD</t>
  </si>
  <si>
    <t>Samuels</t>
  </si>
  <si>
    <t>Joseph S. Stackhouse School</t>
  </si>
  <si>
    <t>Robin</t>
  </si>
  <si>
    <t>Blue</t>
  </si>
  <si>
    <t>rblue@pemb.org</t>
  </si>
  <si>
    <t>125A TRENTON ROAD</t>
  </si>
  <si>
    <t>BROWNS MILLS</t>
  </si>
  <si>
    <t>Marcus W. Newcomb Middle School</t>
  </si>
  <si>
    <t>Walulak</t>
  </si>
  <si>
    <t>awalulak@pemb.org</t>
  </si>
  <si>
    <t>101 Fort Dix Rd</t>
  </si>
  <si>
    <t>Pemberton</t>
  </si>
  <si>
    <t>Pemberton Township High School</t>
  </si>
  <si>
    <t>Darvis</t>
  </si>
  <si>
    <t>dholley@pemb.org</t>
  </si>
  <si>
    <t>148 ARNEYS MOUNT ROAD</t>
  </si>
  <si>
    <t>Samuel T. Busansky School</t>
  </si>
  <si>
    <t>Swaney</t>
  </si>
  <si>
    <t>kswaney@pemb.org</t>
  </si>
  <si>
    <t>16 SCRAPETOWN ROAD</t>
  </si>
  <si>
    <t>Josh</t>
  </si>
  <si>
    <t>Rancocas Valley Regional High School District</t>
  </si>
  <si>
    <t>Rancocas Valley Regional High School</t>
  </si>
  <si>
    <t>jmartin@rvrhs.com</t>
  </si>
  <si>
    <t>520 JACKSONVILLE ROAD</t>
  </si>
  <si>
    <t>Riverside Township School District</t>
  </si>
  <si>
    <t>Riverside Elementary School</t>
  </si>
  <si>
    <t>Shumway</t>
  </si>
  <si>
    <t>sshumway@riverside.k12.nj.us</t>
  </si>
  <si>
    <t>112 E WASHINGTON STREET</t>
  </si>
  <si>
    <t>RIVERSIDE</t>
  </si>
  <si>
    <t>Vanessa</t>
  </si>
  <si>
    <t>Riverside High School</t>
  </si>
  <si>
    <t>Buddy</t>
  </si>
  <si>
    <t>Micucci</t>
  </si>
  <si>
    <t>hmicucci@riverside.k12.nj.us</t>
  </si>
  <si>
    <t>Riverside Middle School</t>
  </si>
  <si>
    <t>Follis</t>
  </si>
  <si>
    <t>efollis@riverside.k12.nj.us</t>
  </si>
  <si>
    <t>Riverton School District</t>
  </si>
  <si>
    <t>Joshua</t>
  </si>
  <si>
    <t>Zagorski</t>
  </si>
  <si>
    <t>jzagorski@riverton.k12.nj.us</t>
  </si>
  <si>
    <t>600 FIFTH STREET</t>
  </si>
  <si>
    <t>RIVERTON</t>
  </si>
  <si>
    <t>Shamong Township School District</t>
  </si>
  <si>
    <t>Indian Mills Elementary School</t>
  </si>
  <si>
    <t>Moore</t>
  </si>
  <si>
    <t>nmoore@shamongschools.org</t>
  </si>
  <si>
    <t>112 INDIAN MILLS ROAD</t>
  </si>
  <si>
    <t>SHAMONG</t>
  </si>
  <si>
    <t>Indian Mills Memorial School</t>
  </si>
  <si>
    <t>Tim</t>
  </si>
  <si>
    <t>tcarroll@shamongschools.org</t>
  </si>
  <si>
    <t>295 INDIAN MILLS ROAD</t>
  </si>
  <si>
    <t>Southampton Township School District</t>
  </si>
  <si>
    <t>Southampton Township School #1</t>
  </si>
  <si>
    <t>Henry</t>
  </si>
  <si>
    <t>henrym@stsdwarriors.org</t>
  </si>
  <si>
    <t>26 PLEASANT STREET</t>
  </si>
  <si>
    <t>SOUTHAMPTON</t>
  </si>
  <si>
    <t>Southampton Township School #2</t>
  </si>
  <si>
    <t>Kristine</t>
  </si>
  <si>
    <t>Bertulis</t>
  </si>
  <si>
    <t>bertulisk@stsdwarriors.org</t>
  </si>
  <si>
    <t>100 MISS MABEL DRIVE</t>
  </si>
  <si>
    <t>Southampton Township School #3</t>
  </si>
  <si>
    <t>100 WARRIOR WAY</t>
  </si>
  <si>
    <t>Springfield Township School District</t>
  </si>
  <si>
    <t>Springfield Township School</t>
  </si>
  <si>
    <t>Vaughn</t>
  </si>
  <si>
    <t>cvaughn@springfieldschool.org</t>
  </si>
  <si>
    <t>2146 JACKSONVILLE ROAD</t>
  </si>
  <si>
    <t>JOBSTOWN</t>
  </si>
  <si>
    <t>Tabernacle Township School District</t>
  </si>
  <si>
    <t>Kenneth R. Olson Middle School</t>
  </si>
  <si>
    <t>Pina</t>
  </si>
  <si>
    <t>pinar@tabschools.org</t>
  </si>
  <si>
    <t>132 NEW ROAD</t>
  </si>
  <si>
    <t>Kim</t>
  </si>
  <si>
    <t>Westampton Township Public School District</t>
  </si>
  <si>
    <t>Murray</t>
  </si>
  <si>
    <t>Westampton Township Middle School</t>
  </si>
  <si>
    <t>Yashanta</t>
  </si>
  <si>
    <t>Holloway-Taluy</t>
  </si>
  <si>
    <t>yholloway-taluy@westamptonschools.org</t>
  </si>
  <si>
    <t>700 RANCOCAS ROAD</t>
  </si>
  <si>
    <t>Willingboro Public School District</t>
  </si>
  <si>
    <t>Theresa</t>
  </si>
  <si>
    <t>Willingboro</t>
  </si>
  <si>
    <t>Hawthorne Park Elementary School</t>
  </si>
  <si>
    <t>Ruhi</t>
  </si>
  <si>
    <t>Ahmed</t>
  </si>
  <si>
    <t>rahmed@wboe.net</t>
  </si>
  <si>
    <t>84 Hampshire Lane</t>
  </si>
  <si>
    <t>WILLINGBORO</t>
  </si>
  <si>
    <t>Cummings</t>
  </si>
  <si>
    <t>James A Cotten Intermediate School</t>
  </si>
  <si>
    <t>Terence</t>
  </si>
  <si>
    <t>Somerville</t>
  </si>
  <si>
    <t>tsomerville@wboe.net</t>
  </si>
  <si>
    <t>80 Martin Luther King Jr. Pkwy</t>
  </si>
  <si>
    <t>Twin Hills Elementary School</t>
  </si>
  <si>
    <t>Rosalind</t>
  </si>
  <si>
    <t>Friday</t>
  </si>
  <si>
    <t>rfriday@wboe.net</t>
  </si>
  <si>
    <t>110 TWIN HILL DRIVE</t>
  </si>
  <si>
    <t>Tiffany</t>
  </si>
  <si>
    <t>W. R. James Sr. Elementary School</t>
  </si>
  <si>
    <t>smarshall@wboe.net</t>
  </si>
  <si>
    <t>41 PINETREE LANE</t>
  </si>
  <si>
    <t>Willingboro High School</t>
  </si>
  <si>
    <t>Jonathan</t>
  </si>
  <si>
    <t>jtaylor@wboe.net</t>
  </si>
  <si>
    <t>20 JFK WAY</t>
  </si>
  <si>
    <t>Bright</t>
  </si>
  <si>
    <t>Willingboro Memorial Middle School</t>
  </si>
  <si>
    <t>Bobby</t>
  </si>
  <si>
    <t>Morgan</t>
  </si>
  <si>
    <t>bmorgan@wboe.net</t>
  </si>
  <si>
    <t>451 Van Sciver Parkway</t>
  </si>
  <si>
    <t>Woodland Township School District</t>
  </si>
  <si>
    <t>Chatsworth Elementary School</t>
  </si>
  <si>
    <t>Venello</t>
  </si>
  <si>
    <t>lvenello@woodlandboe.org</t>
  </si>
  <si>
    <t>2 John Bowker Jr. Blvd</t>
  </si>
  <si>
    <t>CHATSWORTH</t>
  </si>
  <si>
    <t>Monica</t>
  </si>
  <si>
    <t>CAMDEN</t>
  </si>
  <si>
    <t>Audubon Public School District</t>
  </si>
  <si>
    <t>Audubon Junior/Senior High School</t>
  </si>
  <si>
    <t>Lebb</t>
  </si>
  <si>
    <t>jlebb@audubonschools.org</t>
  </si>
  <si>
    <t>350 EDGEWOOD AVENUE</t>
  </si>
  <si>
    <t>AUDUBON</t>
  </si>
  <si>
    <t>Barbra</t>
  </si>
  <si>
    <t>Ledyard</t>
  </si>
  <si>
    <t>bledyard@audubonschools.org</t>
  </si>
  <si>
    <t>Smeltzer</t>
  </si>
  <si>
    <t>Haviland Avenue School</t>
  </si>
  <si>
    <t>240 SOUTH HAVILAND AVENUE</t>
  </si>
  <si>
    <t>Mansion Avenue School</t>
  </si>
  <si>
    <t>bsmeltzer@audubonschools.org</t>
  </si>
  <si>
    <t>300 MANSION AVENUE</t>
  </si>
  <si>
    <t>Barrington School District</t>
  </si>
  <si>
    <t>Avon Elementary School</t>
  </si>
  <si>
    <t>Arcodia</t>
  </si>
  <si>
    <t>aarcodia@barringtonschools.net</t>
  </si>
  <si>
    <t>862 MERCER DR</t>
  </si>
  <si>
    <t>HADDONFIELD</t>
  </si>
  <si>
    <t>Woodland Middle School</t>
  </si>
  <si>
    <t>Silvestri</t>
  </si>
  <si>
    <t>msilvestri@barringtonschools.net</t>
  </si>
  <si>
    <t>1 SCHOOL LANE</t>
  </si>
  <si>
    <t>BARRINGTON</t>
  </si>
  <si>
    <t>Bellmawr Public School District</t>
  </si>
  <si>
    <t>Bell Oaks Upper Elementary School</t>
  </si>
  <si>
    <t>Farinelli</t>
  </si>
  <si>
    <t>afarinelli@bellmawrschools.org</t>
  </si>
  <si>
    <t>256  ANDERSON AVENUE</t>
  </si>
  <si>
    <t>BELLMAWR</t>
  </si>
  <si>
    <t>Douglas</t>
  </si>
  <si>
    <t>Ethel M Burke Elementary School</t>
  </si>
  <si>
    <t>Maguire</t>
  </si>
  <si>
    <t>mmaguire@bellmawrschools.org</t>
  </si>
  <si>
    <t>112 SOUTH BLACK HORSE PIKE</t>
  </si>
  <si>
    <t>McCarthy</t>
  </si>
  <si>
    <t>BERLIN</t>
  </si>
  <si>
    <t>Berlin Township School District</t>
  </si>
  <si>
    <t>Dwight D Eisenhower Middle School</t>
  </si>
  <si>
    <t>mbright@btwpschools.org</t>
  </si>
  <si>
    <t>235 Grove Avenue</t>
  </si>
  <si>
    <t>West Berlin</t>
  </si>
  <si>
    <t>Carey</t>
  </si>
  <si>
    <t>Black Horse Pike Regional School District</t>
  </si>
  <si>
    <t>Highland Regional High School</t>
  </si>
  <si>
    <t>Varga</t>
  </si>
  <si>
    <t>rvarga@bhprsd.org</t>
  </si>
  <si>
    <t>450 Erial Road</t>
  </si>
  <si>
    <t>BLACKWOOD</t>
  </si>
  <si>
    <t>Timber Creek Regional High School</t>
  </si>
  <si>
    <t>McKenzie</t>
  </si>
  <si>
    <t>kmckenzie@bhprsd.org</t>
  </si>
  <si>
    <t>501 JARVIS ROAD</t>
  </si>
  <si>
    <t>ERIAL</t>
  </si>
  <si>
    <t>Triton Regional High School</t>
  </si>
  <si>
    <t>Sheppard</t>
  </si>
  <si>
    <t>msheppard@bhprsd.org</t>
  </si>
  <si>
    <t>250 SCHUBERT AVE</t>
  </si>
  <si>
    <t>RUNNEMEDE</t>
  </si>
  <si>
    <t>Camden City School District</t>
  </si>
  <si>
    <t>Camden Big Picture Learning Academy</t>
  </si>
  <si>
    <t>Jenkins</t>
  </si>
  <si>
    <t>tljenkins@camden.k12.nj.us</t>
  </si>
  <si>
    <t>1875 Park Boulevard</t>
  </si>
  <si>
    <t>Camden High School</t>
  </si>
  <si>
    <t>jthompson@camden.k12.nj.us</t>
  </si>
  <si>
    <t>1700 Park Boulevard</t>
  </si>
  <si>
    <t>Wayne</t>
  </si>
  <si>
    <t>Allen</t>
  </si>
  <si>
    <t>Creative Arts High School</t>
  </si>
  <si>
    <t>Davida</t>
  </si>
  <si>
    <t>Coe Brockington</t>
  </si>
  <si>
    <t>dcoe@camden.k12.nj.us</t>
  </si>
  <si>
    <t>1875 Park Blvd</t>
  </si>
  <si>
    <t>Dr. Charles E. Brimm Medical Arts High School</t>
  </si>
  <si>
    <t>Chukwueke</t>
  </si>
  <si>
    <t>cchukwueke@camden.k12.nj.us</t>
  </si>
  <si>
    <t>Yvette</t>
  </si>
  <si>
    <t>Eastside High School</t>
  </si>
  <si>
    <t>Gloria</t>
  </si>
  <si>
    <t>Vega</t>
  </si>
  <si>
    <t>gmartinezvega@camden.k12.nj.us</t>
  </si>
  <si>
    <t>3100 Federal Street</t>
  </si>
  <si>
    <t>Forest Hill School</t>
  </si>
  <si>
    <t>Darrell</t>
  </si>
  <si>
    <t>Staton</t>
  </si>
  <si>
    <t>dstaton@camden.k12.nj.us</t>
  </si>
  <si>
    <t>1625 Wildwood Avenue</t>
  </si>
  <si>
    <t>Henry B. Wilson Family School</t>
  </si>
  <si>
    <t>Harrigan-Nash</t>
  </si>
  <si>
    <t>nnash@camden.k12.nj.us</t>
  </si>
  <si>
    <t>2250 South 8th Street</t>
  </si>
  <si>
    <t>Morgan Village Middle School</t>
  </si>
  <si>
    <t>Jahnia</t>
  </si>
  <si>
    <t>JahniaRobinson@camden.k12.nj.us</t>
  </si>
  <si>
    <t>990 Morgan Boulevard</t>
  </si>
  <si>
    <t>Camden</t>
  </si>
  <si>
    <t>Byron</t>
  </si>
  <si>
    <t>McRae</t>
  </si>
  <si>
    <t>Camden County Technical School District</t>
  </si>
  <si>
    <t>Camden County Technical School-GTC</t>
  </si>
  <si>
    <t>Chantell</t>
  </si>
  <si>
    <t>cgreen@ccts.net</t>
  </si>
  <si>
    <t>343 Berlin Cross Keys Road</t>
  </si>
  <si>
    <t>Sicklerville</t>
  </si>
  <si>
    <t>Camden County Technical School-Pennsauken</t>
  </si>
  <si>
    <t>Hallinan</t>
  </si>
  <si>
    <t>mhallinan@ccts.net</t>
  </si>
  <si>
    <t>6008 Browning Road</t>
  </si>
  <si>
    <t>Pennsauken</t>
  </si>
  <si>
    <t>Leger</t>
  </si>
  <si>
    <t>School Lead</t>
  </si>
  <si>
    <t>njschoolleads@uncommonschools.org</t>
  </si>
  <si>
    <t>1575 Mt. Ephraim Ave</t>
  </si>
  <si>
    <t>Cherry Hill School District</t>
  </si>
  <si>
    <t>A. Russell Knight Elementary School</t>
  </si>
  <si>
    <t>Eugene</t>
  </si>
  <si>
    <t>Park</t>
  </si>
  <si>
    <t>EPark@chclc.org</t>
  </si>
  <si>
    <t>140 Old Carriage Rd.</t>
  </si>
  <si>
    <t>CHERRY HILL</t>
  </si>
  <si>
    <t>Bret Harte Elementary School</t>
  </si>
  <si>
    <t>Dumar</t>
  </si>
  <si>
    <t>Burgess</t>
  </si>
  <si>
    <t>DBurgess@chclc.org</t>
  </si>
  <si>
    <t>1909 Queen Anne Dr.</t>
  </si>
  <si>
    <t>Egan</t>
  </si>
  <si>
    <t>Cherry Hill High School East</t>
  </si>
  <si>
    <t>Finkle</t>
  </si>
  <si>
    <t>Dfinkle@chclc.org</t>
  </si>
  <si>
    <t>1750 Kresson Rd.</t>
  </si>
  <si>
    <t>Cherry Hill High School West</t>
  </si>
  <si>
    <t>JBurns@chclc.org</t>
  </si>
  <si>
    <t>2101 Chapel Ave.</t>
  </si>
  <si>
    <t>Clara Barton Elementary School</t>
  </si>
  <si>
    <t>Idalis</t>
  </si>
  <si>
    <t>Kizee</t>
  </si>
  <si>
    <t>IKizee@chclc.org</t>
  </si>
  <si>
    <t>223 Rhode Island Ave.</t>
  </si>
  <si>
    <t>Harris</t>
  </si>
  <si>
    <t>Henry C. Beck Middle School</t>
  </si>
  <si>
    <t>Metzger</t>
  </si>
  <si>
    <t>Remetzger@chclc.org</t>
  </si>
  <si>
    <t>950 Cropwell Rd.</t>
  </si>
  <si>
    <t>Horace Mann Elementary School</t>
  </si>
  <si>
    <t>Cohen</t>
  </si>
  <si>
    <t>Jcafagna@chclc.orgJonCohen@chclc.org</t>
  </si>
  <si>
    <t>150 Walt Whitman Blvd.</t>
  </si>
  <si>
    <t>James F. Cooper Elementary School</t>
  </si>
  <si>
    <t>Tiernan</t>
  </si>
  <si>
    <t>RTiernan@chclc.org</t>
  </si>
  <si>
    <t>1960 Greentree Rd.</t>
  </si>
  <si>
    <t>James Johnson Elementary School</t>
  </si>
  <si>
    <t>Jared</t>
  </si>
  <si>
    <t>Peltzman</t>
  </si>
  <si>
    <t>JPeltzman@chclc.org</t>
  </si>
  <si>
    <t>500 Kresson Rd.</t>
  </si>
  <si>
    <t>John A. Carusi Middle School</t>
  </si>
  <si>
    <t>Collazo-Franco</t>
  </si>
  <si>
    <t>ccollazofranco@chclc.org</t>
  </si>
  <si>
    <t>315 Roosevelt Dr.</t>
  </si>
  <si>
    <t>Joseph D. Sharp Elementary School</t>
  </si>
  <si>
    <t>Ric</t>
  </si>
  <si>
    <t>Miscioscia</t>
  </si>
  <si>
    <t>Rmiscioscia@chclc.org</t>
  </si>
  <si>
    <t>300 Old Orchard Rd.</t>
  </si>
  <si>
    <t>Joyce Kilmer Elementary School</t>
  </si>
  <si>
    <t>LaVonda</t>
  </si>
  <si>
    <t>Daniels</t>
  </si>
  <si>
    <t>LDaniels@chclc.org</t>
  </si>
  <si>
    <t>2900 Chapel Ave.</t>
  </si>
  <si>
    <t>Molly</t>
  </si>
  <si>
    <t>Kingston Elementary School</t>
  </si>
  <si>
    <t>Marble</t>
  </si>
  <si>
    <t>WMarble@chclc.org</t>
  </si>
  <si>
    <t>320 Kingston Rd.</t>
  </si>
  <si>
    <t>Richard Stockton Elementary School</t>
  </si>
  <si>
    <t>Riordan</t>
  </si>
  <si>
    <t>JRiordan@chclc.org</t>
  </si>
  <si>
    <t>200 Wexford Dr.</t>
  </si>
  <si>
    <t>Rosa International Middle School</t>
  </si>
  <si>
    <t>Cafagna</t>
  </si>
  <si>
    <t>JCafagna@chclc.org</t>
  </si>
  <si>
    <t>485 Browning Lane</t>
  </si>
  <si>
    <t>Thomas Paine Elementary School</t>
  </si>
  <si>
    <t>Gleason</t>
  </si>
  <si>
    <t>MGleason@chclc.org</t>
  </si>
  <si>
    <t>4001 Church Rd.</t>
  </si>
  <si>
    <t>Santiago</t>
  </si>
  <si>
    <t>Woodcrest Elementary School</t>
  </si>
  <si>
    <t>Alison</t>
  </si>
  <si>
    <t>McCartney</t>
  </si>
  <si>
    <t>amccartney@chclc.org</t>
  </si>
  <si>
    <t>400 Cranford Dr.</t>
  </si>
  <si>
    <t>Collingswood Public School District</t>
  </si>
  <si>
    <t>Collingswood High School</t>
  </si>
  <si>
    <t>Newman</t>
  </si>
  <si>
    <t>dnewman@collsk12.org</t>
  </si>
  <si>
    <t>424 COLLINGS AVE</t>
  </si>
  <si>
    <t>COLLINGSWOOD</t>
  </si>
  <si>
    <t>Collingswood Middle School</t>
  </si>
  <si>
    <t>McMullin</t>
  </si>
  <si>
    <t>jmcmullin@collsk12.org</t>
  </si>
  <si>
    <t>414 COLLINGS AVE</t>
  </si>
  <si>
    <t>Floyd</t>
  </si>
  <si>
    <t>James A. Garfield Elementary School</t>
  </si>
  <si>
    <t>Wiltsey</t>
  </si>
  <si>
    <t>mwiltsey@collsk12.org</t>
  </si>
  <si>
    <t>480 HADDON AVE</t>
  </si>
  <si>
    <t>Mark Newbie Elementary School</t>
  </si>
  <si>
    <t>ssmith@collsk12.org</t>
  </si>
  <si>
    <t>2 EAST BROWNING RD</t>
  </si>
  <si>
    <t>Deb</t>
  </si>
  <si>
    <t>William P Tatem Elementary School</t>
  </si>
  <si>
    <t>Kulak</t>
  </si>
  <si>
    <t>bkulak@collsk12.org</t>
  </si>
  <si>
    <t>265 LINCOLN AVENUE</t>
  </si>
  <si>
    <t>Eastern Camden County Regional School District</t>
  </si>
  <si>
    <t>Eastern Camden County Regional High School</t>
  </si>
  <si>
    <t>Steve</t>
  </si>
  <si>
    <t>slee@eccrsd.us</t>
  </si>
  <si>
    <t>1401 LAUREL OAK ROAD</t>
  </si>
  <si>
    <t>VOORHEES</t>
  </si>
  <si>
    <t>Hill</t>
  </si>
  <si>
    <t>Gloucester City Public School District</t>
  </si>
  <si>
    <t>GLOUCESTER CITY</t>
  </si>
  <si>
    <t>Gloucester City High School</t>
  </si>
  <si>
    <t>sgorman@gcsd.k12.nj.us</t>
  </si>
  <si>
    <t>1300 MARKET STREET</t>
  </si>
  <si>
    <t>Gloucester City Middle School</t>
  </si>
  <si>
    <t>Lacovara</t>
  </si>
  <si>
    <t>dlacovara@gcsd.k12njus</t>
  </si>
  <si>
    <t>500 Market Street</t>
  </si>
  <si>
    <t>Gloucester City</t>
  </si>
  <si>
    <t>Gloucester Township Public Schools</t>
  </si>
  <si>
    <t>SICKLERVILLE</t>
  </si>
  <si>
    <t>Cathleen</t>
  </si>
  <si>
    <t>Blackwood Elementary School</t>
  </si>
  <si>
    <t>Ferrante</t>
  </si>
  <si>
    <t>aferrante@gloucesterrtownshipschools.org</t>
  </si>
  <si>
    <t>260 BLENHEIM  ERIAL RD</t>
  </si>
  <si>
    <t>Charles W. Lewis Middle School</t>
  </si>
  <si>
    <t>Ted</t>
  </si>
  <si>
    <t>Otten</t>
  </si>
  <si>
    <t>totten@gloucestertownshipschools.org</t>
  </si>
  <si>
    <t>875 ERIAL ROAD</t>
  </si>
  <si>
    <t>Glendora Elementary School</t>
  </si>
  <si>
    <t>pmccarthy@gloucestertownshipschools.org</t>
  </si>
  <si>
    <t>201 STATION AVE</t>
  </si>
  <si>
    <t>GLENDORA</t>
  </si>
  <si>
    <t>Ludwig</t>
  </si>
  <si>
    <t>Gloucester Township Elementary School</t>
  </si>
  <si>
    <t>Jacob</t>
  </si>
  <si>
    <t>Lessman</t>
  </si>
  <si>
    <t>jlessman@gloucestertownshipschools.org</t>
  </si>
  <si>
    <t>270 SOUTH BLACK HORSE PIKE</t>
  </si>
  <si>
    <t>Diana</t>
  </si>
  <si>
    <t>James W. Lilley Elementary School</t>
  </si>
  <si>
    <t>Ferguson</t>
  </si>
  <si>
    <t>eferguson@gloucestertownshipschools.org</t>
  </si>
  <si>
    <t>1275 WILLIAMSTOWN ROAD</t>
  </si>
  <si>
    <t>Loring Flemming Elementary School</t>
  </si>
  <si>
    <t>Rose</t>
  </si>
  <si>
    <t>arose@gloucestertownshipschools.org</t>
  </si>
  <si>
    <t>135 LITTLE GLOUCESTER RD</t>
  </si>
  <si>
    <t>Union Valley Elementary School</t>
  </si>
  <si>
    <t>Tracy</t>
  </si>
  <si>
    <t>Elwell</t>
  </si>
  <si>
    <t>telwell@gloucestertownshipschools.org</t>
  </si>
  <si>
    <t>1300 JARVIS ROAD</t>
  </si>
  <si>
    <t>Carrie</t>
  </si>
  <si>
    <t>HADDON HEIGHTS School District</t>
  </si>
  <si>
    <t>Atlantic Avenue</t>
  </si>
  <si>
    <t>ormsbyc@gogarnets.com</t>
  </si>
  <si>
    <t>21 East Atlantic Avenue</t>
  </si>
  <si>
    <t>HADDON HEIGHTS</t>
  </si>
  <si>
    <t>Glenview Avenue</t>
  </si>
  <si>
    <t>Rosen</t>
  </si>
  <si>
    <t>rosene@gogarnets.com</t>
  </si>
  <si>
    <t>1700 Sycamore Street</t>
  </si>
  <si>
    <t>Haddon Heights Jr./Sr. High School</t>
  </si>
  <si>
    <t>Danenza</t>
  </si>
  <si>
    <t>danenzaw@gogarnets.com</t>
  </si>
  <si>
    <t>301 SECOND AVENUE</t>
  </si>
  <si>
    <t>Seventh Avenue</t>
  </si>
  <si>
    <t>316 Seventh Avenue</t>
  </si>
  <si>
    <t>Haddon Township School District</t>
  </si>
  <si>
    <t>Clyde S. Jennings Elementary School</t>
  </si>
  <si>
    <t>Massey</t>
  </si>
  <si>
    <t>lmassey@htsd.us</t>
  </si>
  <si>
    <t>100 CEDAR AVENUE</t>
  </si>
  <si>
    <t>OAKLYN</t>
  </si>
  <si>
    <t>Haddon Township High School</t>
  </si>
  <si>
    <t>gobrien@htsd.us</t>
  </si>
  <si>
    <t>406 MEMORIAL AVENUE</t>
  </si>
  <si>
    <t>WESTMONT</t>
  </si>
  <si>
    <t>Stoy Elementary School</t>
  </si>
  <si>
    <t>206 BRIARWOOD AVENUE</t>
  </si>
  <si>
    <t>Strawbridge Elementary School</t>
  </si>
  <si>
    <t>Lunsford</t>
  </si>
  <si>
    <t>clunsford@htsd.us</t>
  </si>
  <si>
    <t>307 STRAWBRIDGE AVENUE</t>
  </si>
  <si>
    <t>Thomas A. Edison Elementary School</t>
  </si>
  <si>
    <t>205 MELROSE AVENUE</t>
  </si>
  <si>
    <t>Van Sciver Elementary School</t>
  </si>
  <si>
    <t>Don</t>
  </si>
  <si>
    <t>Pullano</t>
  </si>
  <si>
    <t>dpullano@htsd.us</t>
  </si>
  <si>
    <t>625 RHOADS AVENUE</t>
  </si>
  <si>
    <t>William G. Rohrer Middle School</t>
  </si>
  <si>
    <t>Sweicicki</t>
  </si>
  <si>
    <t>asweicicki@htsd.us</t>
  </si>
  <si>
    <t>101 MACARTHUR BOULEVARD</t>
  </si>
  <si>
    <t>Reising</t>
  </si>
  <si>
    <t>Haddonfield School District</t>
  </si>
  <si>
    <t>Simkus</t>
  </si>
  <si>
    <t>simkus@haddonfield.k12.nj.us</t>
  </si>
  <si>
    <t>THREE LINCOLN AVENUE</t>
  </si>
  <si>
    <t>Elizabeth Haddon School</t>
  </si>
  <si>
    <t>Gerry</t>
  </si>
  <si>
    <t>Bissinger</t>
  </si>
  <si>
    <t>gbissinger@haddonfield.k12.nj.us</t>
  </si>
  <si>
    <t>501 WEST REDMAN AVENUE</t>
  </si>
  <si>
    <t>Haddonfield Memorial High School</t>
  </si>
  <si>
    <t>Tammy</t>
  </si>
  <si>
    <t>McHale</t>
  </si>
  <si>
    <t>tmchale@haddonfield.k12.nj.us</t>
  </si>
  <si>
    <t>401 KINGS HIGHWAY EAST</t>
  </si>
  <si>
    <t>Haddonfield Middle School</t>
  </si>
  <si>
    <t>Mchale</t>
  </si>
  <si>
    <t>mchale@haddonfield.k12.nj.us</t>
  </si>
  <si>
    <t>FIVE LINCOLN AVENUE</t>
  </si>
  <si>
    <t>J. Fithian Tatem School</t>
  </si>
  <si>
    <t>Donnetta</t>
  </si>
  <si>
    <t>Beatty</t>
  </si>
  <si>
    <t>dbeatty@haddonfield.k12.nj.us</t>
  </si>
  <si>
    <t>ONE GLOVER AVENUE</t>
  </si>
  <si>
    <t>rhill@kippnj.org</t>
  </si>
  <si>
    <t>525 Clinton Street</t>
  </si>
  <si>
    <t>60 Park Place</t>
  </si>
  <si>
    <t>Newark</t>
  </si>
  <si>
    <t>Laurel Springs School District</t>
  </si>
  <si>
    <t>Laurel Springs School</t>
  </si>
  <si>
    <t>rmahlman@laurelspringschool.org</t>
  </si>
  <si>
    <t>623 GRAND AVENUE</t>
  </si>
  <si>
    <t>LAUREL SPRINGS</t>
  </si>
  <si>
    <t>Johnson</t>
  </si>
  <si>
    <t>Lindenwold Public School District</t>
  </si>
  <si>
    <t>Lindenwold High School</t>
  </si>
  <si>
    <t>Geardino</t>
  </si>
  <si>
    <t>fgeardino@lindenwold.k12.nj.us</t>
  </si>
  <si>
    <t>801 Egg Harbor Road</t>
  </si>
  <si>
    <t>Lindenwold</t>
  </si>
  <si>
    <t>Lindenwold Middle School</t>
  </si>
  <si>
    <t>Lugo</t>
  </si>
  <si>
    <t>alugo@lindenwold.k12.nj.us</t>
  </si>
  <si>
    <t>40 WHITE HORSE AVENUE</t>
  </si>
  <si>
    <t>LINDENWOLD</t>
  </si>
  <si>
    <t>Lindenwold School Five</t>
  </si>
  <si>
    <t>Martinez-Preyor</t>
  </si>
  <si>
    <t>smartinez-preyor@lindenwold.k12.nj.us</t>
  </si>
  <si>
    <t>550 Chews Landing Rd.</t>
  </si>
  <si>
    <t>Lindenwold School Four</t>
  </si>
  <si>
    <t>dlawrence@lindenwold.k12.nj.us</t>
  </si>
  <si>
    <t>900 Gibbsboro Rd.</t>
  </si>
  <si>
    <t>Turnbull</t>
  </si>
  <si>
    <t>Jessie</t>
  </si>
  <si>
    <t>McDonald</t>
  </si>
  <si>
    <t>Jessie.McDonald@Masterycharter.org</t>
  </si>
  <si>
    <t>1001 North 17th Street</t>
  </si>
  <si>
    <t>Cruz</t>
  </si>
  <si>
    <t>Pennsauken Township Board of Education School District</t>
  </si>
  <si>
    <t>A.E. Burling High School</t>
  </si>
  <si>
    <t>McCoach</t>
  </si>
  <si>
    <t>michael.mccoach@pennsauken.net</t>
  </si>
  <si>
    <t>3600 Harris Avenue</t>
  </si>
  <si>
    <t>McGovern</t>
  </si>
  <si>
    <t>PENNSAUKEN</t>
  </si>
  <si>
    <t>Delair Elementary School</t>
  </si>
  <si>
    <t>Rosalyn</t>
  </si>
  <si>
    <t>rlawrence@pennsauken.net</t>
  </si>
  <si>
    <t>850 DEROUSSE AVENUE</t>
  </si>
  <si>
    <t>DELAIR</t>
  </si>
  <si>
    <t>G.H. Carson Elementary School</t>
  </si>
  <si>
    <t>Joyce</t>
  </si>
  <si>
    <t>djoyce@pennsauken.net</t>
  </si>
  <si>
    <t>4150 GARFIELD AVENUE</t>
  </si>
  <si>
    <t>George B. Fine Elementary School</t>
  </si>
  <si>
    <t>Honeyman</t>
  </si>
  <si>
    <t>thoneyman@PENNSAUKEN.NET</t>
  </si>
  <si>
    <t>3800 GLADWYN AVE</t>
  </si>
  <si>
    <t>Howard M. Phifer Middle School</t>
  </si>
  <si>
    <t>jon.reising@pennsauken.net</t>
  </si>
  <si>
    <t>8201 PARK AVE</t>
  </si>
  <si>
    <t>Pennsauken High School</t>
  </si>
  <si>
    <t>Bonkowski</t>
  </si>
  <si>
    <t>rbonkowski@pennsauken.net</t>
  </si>
  <si>
    <t>800 HYLTON ROAD</t>
  </si>
  <si>
    <t>Pennsauken Intermediate School</t>
  </si>
  <si>
    <t>Tanya</t>
  </si>
  <si>
    <t>Harmon</t>
  </si>
  <si>
    <t>tharmon@pennsauken.net</t>
  </si>
  <si>
    <t>8125 PARK AVENUE</t>
  </si>
  <si>
    <t>Roosevelt Science Technology Engineering and Mathematics (ST</t>
  </si>
  <si>
    <t>Chad</t>
  </si>
  <si>
    <t>Deitch</t>
  </si>
  <si>
    <t>cdeitch@pennsauken.net</t>
  </si>
  <si>
    <t>5526 WISTERIA AVE</t>
  </si>
  <si>
    <t>Pine Hill School District</t>
  </si>
  <si>
    <t>PINE HILL</t>
  </si>
  <si>
    <t>Overbrook Senior High School</t>
  </si>
  <si>
    <t>Carullo</t>
  </si>
  <si>
    <t>jcarullo@pinehillschools.org</t>
  </si>
  <si>
    <t>1200 TURNERSVILLE ROAD</t>
  </si>
  <si>
    <t>Pine Hill Middle School</t>
  </si>
  <si>
    <t>Pia</t>
  </si>
  <si>
    <t>Garbutt</t>
  </si>
  <si>
    <t>pgarbutt@pinehillschools.org</t>
  </si>
  <si>
    <t>1100 TURNERVILLE ROAD</t>
  </si>
  <si>
    <t>Runnemede Public School District</t>
  </si>
  <si>
    <t>Jade</t>
  </si>
  <si>
    <t>Yezzi</t>
  </si>
  <si>
    <t>jyezzi@runnemedeschools.org</t>
  </si>
  <si>
    <t>Grade Downing Elementary School</t>
  </si>
  <si>
    <t>3RD &amp; CENTRAL AVES</t>
  </si>
  <si>
    <t>Somerdale School District</t>
  </si>
  <si>
    <t>Somerdale Park School</t>
  </si>
  <si>
    <t>Ford</t>
  </si>
  <si>
    <t>rford@somerdale-park.org</t>
  </si>
  <si>
    <t>301 GRACE STREET</t>
  </si>
  <si>
    <t>SOMERDALE</t>
  </si>
  <si>
    <t>Schwartz</t>
  </si>
  <si>
    <t>Sterling Regional School District</t>
  </si>
  <si>
    <t>Sterling High School</t>
  </si>
  <si>
    <t>Jarod</t>
  </si>
  <si>
    <t>Claybourn</t>
  </si>
  <si>
    <t>jclaybourn@sterling.k12.nj.us</t>
  </si>
  <si>
    <t>501 South Warwick Road</t>
  </si>
  <si>
    <t>Somerdale</t>
  </si>
  <si>
    <t>Stratford School District</t>
  </si>
  <si>
    <t>Parkview Elementary School</t>
  </si>
  <si>
    <t>Blumenstein</t>
  </si>
  <si>
    <t>blumensteinb@stratford.k12.nj.us</t>
  </si>
  <si>
    <t>123 PARKVIEW RD</t>
  </si>
  <si>
    <t>STRATFORD</t>
  </si>
  <si>
    <t>Samuel S. Yellin Elementary School</t>
  </si>
  <si>
    <t>Holloway</t>
  </si>
  <si>
    <t>hollowayc@stratford.k12.nj.us</t>
  </si>
  <si>
    <t>111 WARWICK ROAD</t>
  </si>
  <si>
    <t>Voorhees Township School District</t>
  </si>
  <si>
    <t>Edward T. Hamilton</t>
  </si>
  <si>
    <t>Tadley</t>
  </si>
  <si>
    <t>tadley@voorhees.k12.nj.us</t>
  </si>
  <si>
    <t>1 Boundary Lane</t>
  </si>
  <si>
    <t>Derek</t>
  </si>
  <si>
    <t>Osage School</t>
  </si>
  <si>
    <t>Cranmer</t>
  </si>
  <si>
    <t>cranmer@voorhees.k12.nj.us</t>
  </si>
  <si>
    <t>112 Somerdale Road</t>
  </si>
  <si>
    <t>Signal Hill School</t>
  </si>
  <si>
    <t>Salls</t>
  </si>
  <si>
    <t>salls@voorhees.k12.nj.us</t>
  </si>
  <si>
    <t>33 Signal Hill Drive</t>
  </si>
  <si>
    <t>Voorhees Middle School</t>
  </si>
  <si>
    <t>Alecia</t>
  </si>
  <si>
    <t>Inge</t>
  </si>
  <si>
    <t>inge@voorhees.k12.nj.us</t>
  </si>
  <si>
    <t>1000 HOLLY OAK DR</t>
  </si>
  <si>
    <t>Waterford Township School District</t>
  </si>
  <si>
    <t>Atco Elementary School</t>
  </si>
  <si>
    <t>Kondas</t>
  </si>
  <si>
    <t>hkondas@wtsd.org</t>
  </si>
  <si>
    <t>2162 Cooper Road</t>
  </si>
  <si>
    <t>Atco</t>
  </si>
  <si>
    <t>Waterford Elementary School</t>
  </si>
  <si>
    <t>Manna</t>
  </si>
  <si>
    <t>cmanna@wtsd.org</t>
  </si>
  <si>
    <t>1106 Old White Horse Pike</t>
  </si>
  <si>
    <t>Waterford</t>
  </si>
  <si>
    <t>Winslow Township School District</t>
  </si>
  <si>
    <t>Winslow Township Elementary School Five</t>
  </si>
  <si>
    <t>Nython</t>
  </si>
  <si>
    <t>carterny@winslow-schools.com</t>
  </si>
  <si>
    <t>130 OAK LEAF ROAD</t>
  </si>
  <si>
    <t>Nathan</t>
  </si>
  <si>
    <t>Winslow Township Elementary School Six</t>
  </si>
  <si>
    <t>Lynette</t>
  </si>
  <si>
    <t>brownly@winslow-schools.com</t>
  </si>
  <si>
    <t>617 SICKLER AVENUE</t>
  </si>
  <si>
    <t>Winslow Township High School</t>
  </si>
  <si>
    <t>Marella</t>
  </si>
  <si>
    <t>marellku@winslow-schools.com</t>
  </si>
  <si>
    <t>10 COOPER FOLLY ROAD</t>
  </si>
  <si>
    <t>ATCO</t>
  </si>
  <si>
    <t>Winslow Township Middle School</t>
  </si>
  <si>
    <t>Shropshire</t>
  </si>
  <si>
    <t>shropswi@winslow-schools.com</t>
  </si>
  <si>
    <t>30 COOPER FOLLY ROAD</t>
  </si>
  <si>
    <t>CAPE MAY</t>
  </si>
  <si>
    <t>Zachary</t>
  </si>
  <si>
    <t>Palombo</t>
  </si>
  <si>
    <t>Cartagena</t>
  </si>
  <si>
    <t>Cape May County Special Services School District</t>
  </si>
  <si>
    <t>Cape May County High School</t>
  </si>
  <si>
    <t>Bowers</t>
  </si>
  <si>
    <t>vbowers@cmcspecialservices.org</t>
  </si>
  <si>
    <t>148 CREST HAVEN ROAD</t>
  </si>
  <si>
    <t>CAPE MAY COURT HOUSE</t>
  </si>
  <si>
    <t>Cape May County Technical High School District</t>
  </si>
  <si>
    <t>School Director</t>
  </si>
  <si>
    <t>Cape May County Technical High School</t>
  </si>
  <si>
    <t>Vitiello</t>
  </si>
  <si>
    <t>svitiello@capemaytech.com</t>
  </si>
  <si>
    <t>188 CREST HAVEN RD</t>
  </si>
  <si>
    <t>Dennis Township School District</t>
  </si>
  <si>
    <t>Dennis Township Elementary/Middle Schools</t>
  </si>
  <si>
    <t>Lerch</t>
  </si>
  <si>
    <t>slerch@dtschools.org</t>
  </si>
  <si>
    <t>165 ACADEMY ROAD</t>
  </si>
  <si>
    <t>DENNISVILLE</t>
  </si>
  <si>
    <t>Lower Cape May Regional School District</t>
  </si>
  <si>
    <t>Lower Cape May Regional High School</t>
  </si>
  <si>
    <t>Larry</t>
  </si>
  <si>
    <t>Ziemba</t>
  </si>
  <si>
    <t>ziembal@lcmrschools.com</t>
  </si>
  <si>
    <t>687 RT 9</t>
  </si>
  <si>
    <t>Richard M. Teitelman Middle School</t>
  </si>
  <si>
    <t>Pete</t>
  </si>
  <si>
    <t>Daly</t>
  </si>
  <si>
    <t>dalyp@lcmrschools.com</t>
  </si>
  <si>
    <t>Lower Township Elementary School District</t>
  </si>
  <si>
    <t>Chris</t>
  </si>
  <si>
    <t>Maud Abrams School</t>
  </si>
  <si>
    <t>jking@lowertwpschools.com</t>
  </si>
  <si>
    <t>714 TOWNBANK RD</t>
  </si>
  <si>
    <t>Sandman Consolidated School</t>
  </si>
  <si>
    <t>Van</t>
  </si>
  <si>
    <t>Cathcart</t>
  </si>
  <si>
    <t>vcathcart@lowertwpschools.com</t>
  </si>
  <si>
    <t>838 SEASHORE RD</t>
  </si>
  <si>
    <t>Middle Township Public School District</t>
  </si>
  <si>
    <t>Middle Township Elementary #2</t>
  </si>
  <si>
    <t>Sinone</t>
  </si>
  <si>
    <t>sinonec@middletwp.k12.nj.us</t>
  </si>
  <si>
    <t>101 WEST PACIFIC AVE</t>
  </si>
  <si>
    <t>Middle Township Elementary #4</t>
  </si>
  <si>
    <t>Ortman</t>
  </si>
  <si>
    <t>ortmanj@middletwp.k12.nj.us</t>
  </si>
  <si>
    <t>300 E PACIFIC AVE</t>
  </si>
  <si>
    <t>Middle Township High School</t>
  </si>
  <si>
    <t>Rementer</t>
  </si>
  <si>
    <t>rementers@middletwp.k12.nj.us</t>
  </si>
  <si>
    <t>300 EAST ATLANTIC AVENUE</t>
  </si>
  <si>
    <t>Ocean City School District</t>
  </si>
  <si>
    <t>Ocean City High School</t>
  </si>
  <si>
    <t>Wendy</t>
  </si>
  <si>
    <t>woneal@ocsdnj.org</t>
  </si>
  <si>
    <t>501 ATLANTIC AVENUE</t>
  </si>
  <si>
    <t>OCEAN CITY</t>
  </si>
  <si>
    <t>Ocean City Intermediate School</t>
  </si>
  <si>
    <t>Engle</t>
  </si>
  <si>
    <t>mengle@ocsdnj.org</t>
  </si>
  <si>
    <t>1901 BAY AVENUE</t>
  </si>
  <si>
    <t>Angelo</t>
  </si>
  <si>
    <t>Joel</t>
  </si>
  <si>
    <t>Stone Harbor School District</t>
  </si>
  <si>
    <t>Stone Harbor Elementary School</t>
  </si>
  <si>
    <t>Murtaugh</t>
  </si>
  <si>
    <t>murtaugh@shesnj.org</t>
  </si>
  <si>
    <t>275 93RD ST</t>
  </si>
  <si>
    <t>STONE HARBOR</t>
  </si>
  <si>
    <t>Upper Township School District</t>
  </si>
  <si>
    <t>Upper Township Elementary School</t>
  </si>
  <si>
    <t>Urbano</t>
  </si>
  <si>
    <t>urbano@upperschools.org</t>
  </si>
  <si>
    <t>50 OLD TUCKAHOE RD</t>
  </si>
  <si>
    <t>MARMORA</t>
  </si>
  <si>
    <t>Upper Township Middle School</t>
  </si>
  <si>
    <t>Leek</t>
  </si>
  <si>
    <t>leek@upperschools.org</t>
  </si>
  <si>
    <t>525 PERRY RD</t>
  </si>
  <si>
    <t>PETERSBURG</t>
  </si>
  <si>
    <t>West Cape May School District</t>
  </si>
  <si>
    <t>West Cape May Elementary School</t>
  </si>
  <si>
    <t>zpalombo@wcm.capemayschools.com</t>
  </si>
  <si>
    <t>301 Moore Street</t>
  </si>
  <si>
    <t>West Cape May</t>
  </si>
  <si>
    <t>Wildwood City School District</t>
  </si>
  <si>
    <t>WILDWOOD</t>
  </si>
  <si>
    <t>Wildwood High School</t>
  </si>
  <si>
    <t>Tricia</t>
  </si>
  <si>
    <t>Lemma</t>
  </si>
  <si>
    <t>tlemma@wwschools.org</t>
  </si>
  <si>
    <t>4300 PACIFIC AVE</t>
  </si>
  <si>
    <t>Katina</t>
  </si>
  <si>
    <t>Powell</t>
  </si>
  <si>
    <t>Wildwood Middle School</t>
  </si>
  <si>
    <t>Jean</t>
  </si>
  <si>
    <t>Academy Charter High School</t>
  </si>
  <si>
    <t>Heeter</t>
  </si>
  <si>
    <t>leadperson@academycharterhs.org</t>
  </si>
  <si>
    <t>1725 MAIN STREET</t>
  </si>
  <si>
    <t>LAKE COMO</t>
  </si>
  <si>
    <t>MIDDLESEX</t>
  </si>
  <si>
    <t>Academy for Urban Leadership Charter School</t>
  </si>
  <si>
    <t>Oliveira</t>
  </si>
  <si>
    <t>poliveira@aulcs.org</t>
  </si>
  <si>
    <t>612 Amboy Ave</t>
  </si>
  <si>
    <t>Perth Amboy</t>
  </si>
  <si>
    <t>Achievers Early College Prep Charter School</t>
  </si>
  <si>
    <t>Nava</t>
  </si>
  <si>
    <t>Coppin</t>
  </si>
  <si>
    <t>ncoppin@achieversecp.org</t>
  </si>
  <si>
    <t>544 Chestnut Ave</t>
  </si>
  <si>
    <t>Trenton</t>
  </si>
  <si>
    <t>Atlantic Community Charter School</t>
  </si>
  <si>
    <t>Armstrong</t>
  </si>
  <si>
    <t>carmstrong@atlanticcommunitycharter.com</t>
  </si>
  <si>
    <t>112 South New York Rd</t>
  </si>
  <si>
    <t>Galloway</t>
  </si>
  <si>
    <t>BelovED Community Charter</t>
  </si>
  <si>
    <t>BelovED Community Charter School</t>
  </si>
  <si>
    <t>Marisol</t>
  </si>
  <si>
    <t>Ghizzone</t>
  </si>
  <si>
    <t>mghizzone@belovedccs.org</t>
  </si>
  <si>
    <t>508 Grand Street</t>
  </si>
  <si>
    <t>Jersey City</t>
  </si>
  <si>
    <t>Benjamin Banneker Preparatory Charter School</t>
  </si>
  <si>
    <t>Martinez</t>
  </si>
  <si>
    <t>lmartinez@bbprepcs.com</t>
  </si>
  <si>
    <t>11 South Sunset Road</t>
  </si>
  <si>
    <t>Bergen Arts and Science Charter School</t>
  </si>
  <si>
    <t>Bergen Arts and Sciences Charter School</t>
  </si>
  <si>
    <t>Nihat</t>
  </si>
  <si>
    <t>Guvercin</t>
  </si>
  <si>
    <t>nguvercin@ilearnschools.org</t>
  </si>
  <si>
    <t>200 MACARTHUR AVENUE</t>
  </si>
  <si>
    <t>Bridgeton Public Charter School</t>
  </si>
  <si>
    <t>vjames@cccharters.org</t>
  </si>
  <si>
    <t>790 East Commerce Ave</t>
  </si>
  <si>
    <t>Bridgeton</t>
  </si>
  <si>
    <t>1101 Wheaton Avenue</t>
  </si>
  <si>
    <t>Millville</t>
  </si>
  <si>
    <t>PASSAIC</t>
  </si>
  <si>
    <t>Brilla New Jersey Charter School</t>
  </si>
  <si>
    <t>kelly.obrien@brillapaterson.org</t>
  </si>
  <si>
    <t>24 DEGRASSE ST</t>
  </si>
  <si>
    <t>PATERSON</t>
  </si>
  <si>
    <t>Burch Charter School of Excellence</t>
  </si>
  <si>
    <t>Simmons</t>
  </si>
  <si>
    <t>tsimmons@burchcharterschool.org</t>
  </si>
  <si>
    <t>100 LINDEN AVE</t>
  </si>
  <si>
    <t>IRVINGTON</t>
  </si>
  <si>
    <t>Central Jersey College Prep Charter School</t>
  </si>
  <si>
    <t>Namik</t>
  </si>
  <si>
    <t>Sercan</t>
  </si>
  <si>
    <t>nsercan@cjcollegeprep.org</t>
  </si>
  <si>
    <t>101 Mettlers Road</t>
  </si>
  <si>
    <t>Somerset</t>
  </si>
  <si>
    <t>Chartertech High School for the Performing Arts</t>
  </si>
  <si>
    <t>McGuire</t>
  </si>
  <si>
    <t>bmcguire@chartertech.org</t>
  </si>
  <si>
    <t>413 NEW ROAD</t>
  </si>
  <si>
    <t>SOMERS POINT</t>
  </si>
  <si>
    <t>Classical Academy Charter School of Clifton</t>
  </si>
  <si>
    <t>Farley</t>
  </si>
  <si>
    <t>GFarley@classicalacademy.org</t>
  </si>
  <si>
    <t>1255 Main Avenue</t>
  </si>
  <si>
    <t>CLIFTON</t>
  </si>
  <si>
    <t>UNION</t>
  </si>
  <si>
    <t>College Achieve Central Charter School</t>
  </si>
  <si>
    <t>Corri</t>
  </si>
  <si>
    <t>Tate Ravare</t>
  </si>
  <si>
    <t>cravare@collegeachieve.org</t>
  </si>
  <si>
    <t>365 Emerson Ave</t>
  </si>
  <si>
    <t>Plainfield</t>
  </si>
  <si>
    <t>Vitale</t>
  </si>
  <si>
    <t>College Achieve Greater Asbury Park Charter School Distr</t>
  </si>
  <si>
    <t>College Achieve Greater Asbury Park Charter School District</t>
  </si>
  <si>
    <t>Micah</t>
  </si>
  <si>
    <t>Bender</t>
  </si>
  <si>
    <t>mbender@collegeachieve.org</t>
  </si>
  <si>
    <t>3455 West Bangs Ave</t>
  </si>
  <si>
    <t>Neptune</t>
  </si>
  <si>
    <t>College Achieve Paterson Charter School</t>
  </si>
  <si>
    <t>Cook</t>
  </si>
  <si>
    <t>scook@collegeachieve.org</t>
  </si>
  <si>
    <t>21 Market Street</t>
  </si>
  <si>
    <t>Tinton Falls</t>
  </si>
  <si>
    <t>Community Charter School of Paterson</t>
  </si>
  <si>
    <t>Ira</t>
  </si>
  <si>
    <t>Griffith</t>
  </si>
  <si>
    <t>igriffith@ccsp.org</t>
  </si>
  <si>
    <t>75 SPRUCE ST</t>
  </si>
  <si>
    <t>Vineland</t>
  </si>
  <si>
    <t>SALEM</t>
  </si>
  <si>
    <t>Creativity CoLaboratory Charter School</t>
  </si>
  <si>
    <t>Walter</t>
  </si>
  <si>
    <t>Kappeler</t>
  </si>
  <si>
    <t>wkappeler@c3school.org</t>
  </si>
  <si>
    <t>457 Shirley Road</t>
  </si>
  <si>
    <t>Elmer</t>
  </si>
  <si>
    <t>Rojas</t>
  </si>
  <si>
    <t>Cresthaven Academy Charter School</t>
  </si>
  <si>
    <t>Damion</t>
  </si>
  <si>
    <t>Frye</t>
  </si>
  <si>
    <t>dfrye@cresthavenacademy.org</t>
  </si>
  <si>
    <t>530 West 7th Street</t>
  </si>
  <si>
    <t>Discovery Charter School</t>
  </si>
  <si>
    <t>Denis</t>
  </si>
  <si>
    <t>Cretinon</t>
  </si>
  <si>
    <t>dcretinon@discoverycs.org</t>
  </si>
  <si>
    <t>240 Halsey St</t>
  </si>
  <si>
    <t>NEWARK</t>
  </si>
  <si>
    <t>Grier</t>
  </si>
  <si>
    <t>Dr Lena Edwards Academic Charter School</t>
  </si>
  <si>
    <t>Brewer</t>
  </si>
  <si>
    <t>jbrewer@drlenaedwardscharterschool.org</t>
  </si>
  <si>
    <t>509 Bramhall Ave.</t>
  </si>
  <si>
    <t>East Orange Community Charter School</t>
  </si>
  <si>
    <t>Watkins</t>
  </si>
  <si>
    <t>twatkins@theeoccs.org</t>
  </si>
  <si>
    <t>99 WASHINGTON STREET</t>
  </si>
  <si>
    <t>EAST ORANGE</t>
  </si>
  <si>
    <t>Elysian Charter School</t>
  </si>
  <si>
    <t>Elysian Charter School of Hoboken</t>
  </si>
  <si>
    <t>Grierson</t>
  </si>
  <si>
    <t>susan.grierson@ecsnj.org</t>
  </si>
  <si>
    <t>1460 GARDEN STREET</t>
  </si>
  <si>
    <t>HOBOKEN</t>
  </si>
  <si>
    <t>Empowerment Academy Charter School</t>
  </si>
  <si>
    <t>athomas@empacad.org</t>
  </si>
  <si>
    <t>240 Ege Avenue</t>
  </si>
  <si>
    <t>Tucker</t>
  </si>
  <si>
    <t>Englewood on the Palisades Charter School</t>
  </si>
  <si>
    <t>dana.clark@englewoodcharter.org</t>
  </si>
  <si>
    <t>65  WEST DEMAREST AVENUE</t>
  </si>
  <si>
    <t>Foundation Academy Charter School</t>
  </si>
  <si>
    <t>Sheria</t>
  </si>
  <si>
    <t>smcrae@foundationacademy.org</t>
  </si>
  <si>
    <t>363 West State Street</t>
  </si>
  <si>
    <t>Gray Charter School</t>
  </si>
  <si>
    <t>The Gray Charter School</t>
  </si>
  <si>
    <t>Verna</t>
  </si>
  <si>
    <t>Gray</t>
  </si>
  <si>
    <t>graychartersch@gmail.com</t>
  </si>
  <si>
    <t>55 LIBERTY STREET</t>
  </si>
  <si>
    <t>Greater Brunswick Charter School</t>
  </si>
  <si>
    <t>Hector</t>
  </si>
  <si>
    <t>Alvarez</t>
  </si>
  <si>
    <t>hector.alvarez@greaterbrunswick.org</t>
  </si>
  <si>
    <t>429 JOYCE KILMER AVENUE</t>
  </si>
  <si>
    <t>NEW BRUNSWICK</t>
  </si>
  <si>
    <t>Hatikvah International Academy Charter School</t>
  </si>
  <si>
    <t>Marcia</t>
  </si>
  <si>
    <t>Grayson</t>
  </si>
  <si>
    <t>mgrayson@hiacs.org</t>
  </si>
  <si>
    <t>7 Lexington Avenue</t>
  </si>
  <si>
    <t>East Brunswick</t>
  </si>
  <si>
    <t>Hoboken Charter School District</t>
  </si>
  <si>
    <t>Hoboken Charter School</t>
  </si>
  <si>
    <t>Deirdra</t>
  </si>
  <si>
    <t>Grode</t>
  </si>
  <si>
    <t>dgrode@hobokencs.net</t>
  </si>
  <si>
    <t>713 Washington St</t>
  </si>
  <si>
    <t>Hoboken</t>
  </si>
  <si>
    <t>Hoboken Dual Language Charter School</t>
  </si>
  <si>
    <t>Sargent</t>
  </si>
  <si>
    <t>jsargent@holahoboken.org</t>
  </si>
  <si>
    <t>123 Jefferson Street</t>
  </si>
  <si>
    <t>Hope Academy Charter School</t>
  </si>
  <si>
    <t>DaVisha</t>
  </si>
  <si>
    <t>Pratt</t>
  </si>
  <si>
    <t>dpratt@hopeacademycs.org</t>
  </si>
  <si>
    <t>601 GRAND AVENUE</t>
  </si>
  <si>
    <t>ASBURY PARK</t>
  </si>
  <si>
    <t>Hope Community Charter School</t>
  </si>
  <si>
    <t>smith@hopecommunitycharter.org</t>
  </si>
  <si>
    <t>836 S. 4th Street</t>
  </si>
  <si>
    <t>Hudson Arts and Science Charter School</t>
  </si>
  <si>
    <t>131 Midland Ave</t>
  </si>
  <si>
    <t>Kearny</t>
  </si>
  <si>
    <t>International Charter School of Trenton</t>
  </si>
  <si>
    <t>International Charter School</t>
  </si>
  <si>
    <t>Nixon</t>
  </si>
  <si>
    <t>anixon@internationalcs.org</t>
  </si>
  <si>
    <t>105 GRAND STREET</t>
  </si>
  <si>
    <t>TRENTON</t>
  </si>
  <si>
    <t>Jersey City Community Charter School</t>
  </si>
  <si>
    <t>Ayana</t>
  </si>
  <si>
    <t>awilliams@jcccsonline.org</t>
  </si>
  <si>
    <t>128 DANFORTH AVENUE</t>
  </si>
  <si>
    <t>JERSEY CITY</t>
  </si>
  <si>
    <t>Jersey City Global Charter School</t>
  </si>
  <si>
    <t>Abrams</t>
  </si>
  <si>
    <t>jabrams@jcgcs.org</t>
  </si>
  <si>
    <t>255 Congress Street</t>
  </si>
  <si>
    <t>Carlos</t>
  </si>
  <si>
    <t>Marlene</t>
  </si>
  <si>
    <t>Kindle Education Public Charter School</t>
  </si>
  <si>
    <t>Hartigan</t>
  </si>
  <si>
    <t>dj@kindleeducation.org</t>
  </si>
  <si>
    <t>35 Journal Square Plaza</t>
  </si>
  <si>
    <t>LEAD Charter School</t>
  </si>
  <si>
    <t>Shabani</t>
  </si>
  <si>
    <t>sstewart@oyn-nj.org</t>
  </si>
  <si>
    <t>201 Bergen Street</t>
  </si>
  <si>
    <t>Price</t>
  </si>
  <si>
    <t>LEAP Academy University Charter School</t>
  </si>
  <si>
    <t>Leap Academy University Charter School</t>
  </si>
  <si>
    <t>Jozian</t>
  </si>
  <si>
    <t>Molina</t>
  </si>
  <si>
    <t>jmolina@leap.rutgers.edu</t>
  </si>
  <si>
    <t>130 North Broadway</t>
  </si>
  <si>
    <t>Link Community Charter School</t>
  </si>
  <si>
    <t>Kennedy</t>
  </si>
  <si>
    <t>hkennedy@linkschool.org</t>
  </si>
  <si>
    <t>23 Pennsyvania Ave</t>
  </si>
  <si>
    <t>Maria L. Varisco-Rogers Charter School</t>
  </si>
  <si>
    <t>Maria Varisco Rogers Charter School</t>
  </si>
  <si>
    <t>Heyward</t>
  </si>
  <si>
    <t>aheyward@mlvrcs.org</t>
  </si>
  <si>
    <t>233 Woodside Ave</t>
  </si>
  <si>
    <t>McCorristin Charter School District</t>
  </si>
  <si>
    <t>McCorristin Charter School</t>
  </si>
  <si>
    <t>Brazil</t>
  </si>
  <si>
    <t>lbrazil@thrivecharterschool.org</t>
  </si>
  <si>
    <t>175 Leonard Avenue</t>
  </si>
  <si>
    <t>Hamilton</t>
  </si>
  <si>
    <t>Middlesex County STEM Charter School</t>
  </si>
  <si>
    <t>nsercan@middlesexcharter.org</t>
  </si>
  <si>
    <t>613 Carlock Ave</t>
  </si>
  <si>
    <t>Millville Public Charter School District</t>
  </si>
  <si>
    <t>Millville Public Charter School</t>
  </si>
  <si>
    <t>tludwig@cccharters.org</t>
  </si>
  <si>
    <t>New Horizons Community Charter School</t>
  </si>
  <si>
    <t>Webb</t>
  </si>
  <si>
    <t>swebb@nhccschool.org</t>
  </si>
  <si>
    <t>45  59 HAYES STREET</t>
  </si>
  <si>
    <t>Costa</t>
  </si>
  <si>
    <t>North Star Academy Charter School</t>
  </si>
  <si>
    <t>Venegas-Gibbons</t>
  </si>
  <si>
    <t>Jennifer.Venegas-Gibbons@uncommonschools.org</t>
  </si>
  <si>
    <t>10 WASHINGTON PLACE</t>
  </si>
  <si>
    <t>OCEAN</t>
  </si>
  <si>
    <t>Ocean Academy Charter School</t>
  </si>
  <si>
    <t>Valarie</t>
  </si>
  <si>
    <t>valarie.smith@oceanacademycs.org</t>
  </si>
  <si>
    <t>1650 Massachusetts Ave.</t>
  </si>
  <si>
    <t>Lakewood</t>
  </si>
  <si>
    <t>Pace Charter School of Hamilton</t>
  </si>
  <si>
    <t>Pontoriero</t>
  </si>
  <si>
    <t>dpontoriero@pace.charter.k12.nj.us</t>
  </si>
  <si>
    <t>52 Lafayette Ave</t>
  </si>
  <si>
    <t>HAMILTON TWP</t>
  </si>
  <si>
    <t>Passaic Arts and Science Charter School</t>
  </si>
  <si>
    <t>7 St. Francis Way</t>
  </si>
  <si>
    <t>Passaic</t>
  </si>
  <si>
    <t>Paterson Arts and Science Charter School</t>
  </si>
  <si>
    <t>225 Grand Street</t>
  </si>
  <si>
    <t>Paterson Charter School for Science and Technology</t>
  </si>
  <si>
    <t>Ali</t>
  </si>
  <si>
    <t>Gurcanli</t>
  </si>
  <si>
    <t>riza.gurcanli@pcsst.org</t>
  </si>
  <si>
    <t>196 WEST RAILWAY AVENUE</t>
  </si>
  <si>
    <t>Paul Robeson Charter School for the Humanities</t>
  </si>
  <si>
    <t>Freya</t>
  </si>
  <si>
    <t>Lund</t>
  </si>
  <si>
    <t>flund@paulrobesoncs.org</t>
  </si>
  <si>
    <t>643 INDIANA AVE</t>
  </si>
  <si>
    <t>Perpich</t>
  </si>
  <si>
    <t>cperpich@brickeducation.org</t>
  </si>
  <si>
    <t>534 Clinton Avenue</t>
  </si>
  <si>
    <t>Dowayne</t>
  </si>
  <si>
    <t>ddavis@pacspaterson.org</t>
  </si>
  <si>
    <t>47 State Street</t>
  </si>
  <si>
    <t>Noel</t>
  </si>
  <si>
    <t>Pride Academy Charter School District</t>
  </si>
  <si>
    <t>Pride Academy Charter School</t>
  </si>
  <si>
    <t>Asgeir</t>
  </si>
  <si>
    <t>Ofstad</t>
  </si>
  <si>
    <t>aofstad@prideacs.org</t>
  </si>
  <si>
    <t>117 ELMWOOD AVE</t>
  </si>
  <si>
    <t>Brower</t>
  </si>
  <si>
    <t>Princeton Charter School</t>
  </si>
  <si>
    <t>Patton</t>
  </si>
  <si>
    <t>lpatton@princetoncharter.org</t>
  </si>
  <si>
    <t>100 Bunn Drive</t>
  </si>
  <si>
    <t>PRINCETON</t>
  </si>
  <si>
    <t>Principle Academy Charter School</t>
  </si>
  <si>
    <t>Caporilli</t>
  </si>
  <si>
    <t>petercaporilli@principleacademycharter.org</t>
  </si>
  <si>
    <t>6718 E Black Horse Pike</t>
  </si>
  <si>
    <t>Georgette</t>
  </si>
  <si>
    <t>Kristen</t>
  </si>
  <si>
    <t>RED BANK</t>
  </si>
  <si>
    <t>WARREN</t>
  </si>
  <si>
    <t>Ridge and Valley Charter School</t>
  </si>
  <si>
    <t>Masi</t>
  </si>
  <si>
    <t>lisa.masi@ridgeandvalley.org</t>
  </si>
  <si>
    <t>1234 STATE ROUTE 94</t>
  </si>
  <si>
    <t>Frelinghuysen</t>
  </si>
  <si>
    <t>BLAIRSTOWN</t>
  </si>
  <si>
    <t>Riverbank Charter School of Excellence</t>
  </si>
  <si>
    <t>Beth</t>
  </si>
  <si>
    <t>Kelley</t>
  </si>
  <si>
    <t>kelley@riverbank.charter.k12.nj.us</t>
  </si>
  <si>
    <t>1300 Hornberger Ave</t>
  </si>
  <si>
    <t>Roebling</t>
  </si>
  <si>
    <t>Robert Treat Academy Charter School</t>
  </si>
  <si>
    <t>Marcelino</t>
  </si>
  <si>
    <t>Trillo</t>
  </si>
  <si>
    <t>trillom@roberttreatacademy.org</t>
  </si>
  <si>
    <t>443 CLIFTON AVENUE</t>
  </si>
  <si>
    <t>Roseville Community Charter School</t>
  </si>
  <si>
    <t>Dionne</t>
  </si>
  <si>
    <t>Ledford</t>
  </si>
  <si>
    <t>dledford@rosevillecharter.org</t>
  </si>
  <si>
    <t>540 ORANGE STREET</t>
  </si>
  <si>
    <t>Soaring Heights Charter School</t>
  </si>
  <si>
    <t>Quagliana</t>
  </si>
  <si>
    <t>jquagliana@shcsjc.org</t>
  </si>
  <si>
    <t>1 ROMAR AVENUE</t>
  </si>
  <si>
    <t>Mastropaolo</t>
  </si>
  <si>
    <t>SUSSEX</t>
  </si>
  <si>
    <t>Sussex County Technology Charter School</t>
  </si>
  <si>
    <t>mbell@sussexcharter.org</t>
  </si>
  <si>
    <t>385 N. Church Rd.</t>
  </si>
  <si>
    <t>SPARTA</t>
  </si>
  <si>
    <t>TEAM Academy Charter School</t>
  </si>
  <si>
    <t>Teaneck Community Charter School</t>
  </si>
  <si>
    <t>Teaneck Community Charter school</t>
  </si>
  <si>
    <t>Ralph</t>
  </si>
  <si>
    <t>Gallo</t>
  </si>
  <si>
    <t>rgallo@tccsnj.org</t>
  </si>
  <si>
    <t>563 CHESTNUT AVENUE</t>
  </si>
  <si>
    <t>Anders</t>
  </si>
  <si>
    <t>The Barack Obama Green Charter High School District</t>
  </si>
  <si>
    <t>The Barack Obama Green Charter School</t>
  </si>
  <si>
    <t>Murphy-Richardson</t>
  </si>
  <si>
    <t>erin.richardson@barackobamagcs.org</t>
  </si>
  <si>
    <t>35 Watchung ave</t>
  </si>
  <si>
    <t>Solomon</t>
  </si>
  <si>
    <t>Melendez</t>
  </si>
  <si>
    <t>The Queen City Academy Charter School District</t>
  </si>
  <si>
    <t>The Queen City Academy Charter School</t>
  </si>
  <si>
    <t>Jazmin</t>
  </si>
  <si>
    <t>Gooding</t>
  </si>
  <si>
    <t>jgooding@queencity.edu</t>
  </si>
  <si>
    <t>815 WEST SEVENTH STREET</t>
  </si>
  <si>
    <t>PLAINFIELD</t>
  </si>
  <si>
    <t>The Village Charter School</t>
  </si>
  <si>
    <t>Keoke</t>
  </si>
  <si>
    <t>Wooten-Johnson</t>
  </si>
  <si>
    <t>kwjohnson@villagecharter.org</t>
  </si>
  <si>
    <t>101 SULLIVAN WAY</t>
  </si>
  <si>
    <t>Pamela</t>
  </si>
  <si>
    <t>Luke</t>
  </si>
  <si>
    <t>Thomas Edison EnergySmart Charter School</t>
  </si>
  <si>
    <t>Oguz</t>
  </si>
  <si>
    <t>Yildiz</t>
  </si>
  <si>
    <t>oyildiz@energysmartschool.org</t>
  </si>
  <si>
    <t>150 Pierce Street</t>
  </si>
  <si>
    <t>Trenton STEM-to-Civics Charter School</t>
  </si>
  <si>
    <t>leigh.byron@stemcivics.org</t>
  </si>
  <si>
    <t>1555 Pennington Raod</t>
  </si>
  <si>
    <t>Ewing</t>
  </si>
  <si>
    <t>Union County TEAMS Charter School-High School/College LA</t>
  </si>
  <si>
    <t>Union County TEAMS Charter School</t>
  </si>
  <si>
    <t>Thorpe</t>
  </si>
  <si>
    <t>sthorpe@ucteams.org</t>
  </si>
  <si>
    <t>515  517 WEST FOURTH STREET</t>
  </si>
  <si>
    <t>Unity Charter School</t>
  </si>
  <si>
    <t>Carcich</t>
  </si>
  <si>
    <t>jennifer.carcich@unitycharterschool.org</t>
  </si>
  <si>
    <t>1 Evergreen Place</t>
  </si>
  <si>
    <t>MORRISTOWN</t>
  </si>
  <si>
    <t>Braverman</t>
  </si>
  <si>
    <t>University Academy Charter High School</t>
  </si>
  <si>
    <t>Erie</t>
  </si>
  <si>
    <t>elugo@uachs.org</t>
  </si>
  <si>
    <t>275 WEST SIDE AVENUE</t>
  </si>
  <si>
    <t>Carlson</t>
  </si>
  <si>
    <t>VINELAND</t>
  </si>
  <si>
    <t>Bridgeton City School District</t>
  </si>
  <si>
    <t>Bridgeton High School</t>
  </si>
  <si>
    <t>Eckmeyer</t>
  </si>
  <si>
    <t>meckmeyer@bridgeton.k12.nj.us</t>
  </si>
  <si>
    <t>111 N WEST AVENUE</t>
  </si>
  <si>
    <t>BRIDGETON</t>
  </si>
  <si>
    <t>Broad Street School</t>
  </si>
  <si>
    <t>Philippe</t>
  </si>
  <si>
    <t>Silva</t>
  </si>
  <si>
    <t>psilva@bridgeton.k12.nj.us</t>
  </si>
  <si>
    <t>251 WEST BROAD STREET</t>
  </si>
  <si>
    <t>Reyes</t>
  </si>
  <si>
    <t>Buckshutem Road School</t>
  </si>
  <si>
    <t>Macchia</t>
  </si>
  <si>
    <t>dmacchia@bridgeton.k12.nj.us</t>
  </si>
  <si>
    <t>550 BUCKSHUTEM ROAD</t>
  </si>
  <si>
    <t>Cherry Street School</t>
  </si>
  <si>
    <t>tspencer@bridgeton.k12.nj.us</t>
  </si>
  <si>
    <t>11 CHERRY STREET</t>
  </si>
  <si>
    <t>Indian Ave School</t>
  </si>
  <si>
    <t>Karl</t>
  </si>
  <si>
    <t>kbrown@bridgeton.k12.nj.us</t>
  </si>
  <si>
    <t>399 INDIAN AVENUE</t>
  </si>
  <si>
    <t>West Avenue School</t>
  </si>
  <si>
    <t>Maurizio</t>
  </si>
  <si>
    <t>Joseph.Maurizio@bridgeton.k12.nj.us</t>
  </si>
  <si>
    <t>51 NORTH WEST AVENUE</t>
  </si>
  <si>
    <t>Cumberland County Board of Vocational Education</t>
  </si>
  <si>
    <t>Cumberland County Technical Education Center</t>
  </si>
  <si>
    <t>McGraw</t>
  </si>
  <si>
    <t>gmcgraw@cctecnj.org</t>
  </si>
  <si>
    <t>3400 College Drive</t>
  </si>
  <si>
    <t>Cumberland Regional School District</t>
  </si>
  <si>
    <t>Cumberland Regional High School</t>
  </si>
  <si>
    <t>martin@crhsd.org</t>
  </si>
  <si>
    <t>90 SILVER LAKE ROAD</t>
  </si>
  <si>
    <t>Greenwich Township School District</t>
  </si>
  <si>
    <t>Millville School District</t>
  </si>
  <si>
    <t>JoAnn</t>
  </si>
  <si>
    <t>MILLVILLE</t>
  </si>
  <si>
    <t>Rogers</t>
  </si>
  <si>
    <t>Holly Heights Elementary School</t>
  </si>
  <si>
    <t>Durham</t>
  </si>
  <si>
    <t>jason.durham@millville.org</t>
  </si>
  <si>
    <t>2509 E MAIN ST</t>
  </si>
  <si>
    <t>Lakeside Middle School</t>
  </si>
  <si>
    <t>Gaunt</t>
  </si>
  <si>
    <t>amanda.gaunt@millville.org</t>
  </si>
  <si>
    <t>2 N  SHARP ST</t>
  </si>
  <si>
    <t>Millville High School</t>
  </si>
  <si>
    <t>Jaime</t>
  </si>
  <si>
    <t>Sutton</t>
  </si>
  <si>
    <t>jaime.sutton@millville.org</t>
  </si>
  <si>
    <t>200 WADE BLVD</t>
  </si>
  <si>
    <t>Mount Pleasant Elementary School</t>
  </si>
  <si>
    <t>Uribe</t>
  </si>
  <si>
    <t>scott.uribe@millville.org</t>
  </si>
  <si>
    <t>100 CARMEL RD</t>
  </si>
  <si>
    <t>R. M. Bacon Elementary School</t>
  </si>
  <si>
    <t>Spike</t>
  </si>
  <si>
    <t>spike.cook@millville.org</t>
  </si>
  <si>
    <t>501 SOUTH THIRD STREET</t>
  </si>
  <si>
    <t>Rieck Avenue Elementary School</t>
  </si>
  <si>
    <t>Connor</t>
  </si>
  <si>
    <t>patricia.connor@millville.org</t>
  </si>
  <si>
    <t>339 RIECK AVENUE</t>
  </si>
  <si>
    <t>Silver Run Elementary School</t>
  </si>
  <si>
    <t>Reissek</t>
  </si>
  <si>
    <t>eric.reissek@millville.org</t>
  </si>
  <si>
    <t>301 SILVER RUN ROAD</t>
  </si>
  <si>
    <t>Upper Deerfield Township School District</t>
  </si>
  <si>
    <t>SEABROOK</t>
  </si>
  <si>
    <t>Elizabeth F. Moore School</t>
  </si>
  <si>
    <t>Rivera</t>
  </si>
  <si>
    <t>riverak@udts.org</t>
  </si>
  <si>
    <t>1361 Highway 77</t>
  </si>
  <si>
    <t>Woodruff Middle School</t>
  </si>
  <si>
    <t>Harold</t>
  </si>
  <si>
    <t>hillh@udts.org</t>
  </si>
  <si>
    <t>1385 Highway 77</t>
  </si>
  <si>
    <t>Seabrook</t>
  </si>
  <si>
    <t>Vineland Public School District</t>
  </si>
  <si>
    <t>Anthony Rossi Elementary School</t>
  </si>
  <si>
    <t>Carmella</t>
  </si>
  <si>
    <t>Heer</t>
  </si>
  <si>
    <t>cheer@vineland.org</t>
  </si>
  <si>
    <t>2572 PALERMO AVE</t>
  </si>
  <si>
    <t>Dane Barse Elementary School</t>
  </si>
  <si>
    <t>Brittney</t>
  </si>
  <si>
    <t>Tomlin</t>
  </si>
  <si>
    <t>btomlin@vineland.org</t>
  </si>
  <si>
    <t>240 S ORCHARD RD</t>
  </si>
  <si>
    <t>Dr. William Mennies Elementary School</t>
  </si>
  <si>
    <t>Lovisone</t>
  </si>
  <si>
    <t>mlovisone@vineland.org</t>
  </si>
  <si>
    <t>361 EAST GRANT AVENUE</t>
  </si>
  <si>
    <t>Edward Johnstone Middle School</t>
  </si>
  <si>
    <t>jpierce@vineland.org</t>
  </si>
  <si>
    <t>165 S  BREWSTER RD</t>
  </si>
  <si>
    <t>Gloria M Sabater Elementary School</t>
  </si>
  <si>
    <t>Sofia</t>
  </si>
  <si>
    <t>Heredia-Torres</t>
  </si>
  <si>
    <t>sheredia-torres@vineland.org</t>
  </si>
  <si>
    <t>301 SOUTH EAST BLVD</t>
  </si>
  <si>
    <t>John H. Winslow Elementary School</t>
  </si>
  <si>
    <t>Speakman</t>
  </si>
  <si>
    <t>kspeakman@vineland.org</t>
  </si>
  <si>
    <t>1335 MAGNOLIA RD</t>
  </si>
  <si>
    <t>Dawn</t>
  </si>
  <si>
    <t>Marie Durand Elementary School</t>
  </si>
  <si>
    <t>Greco</t>
  </si>
  <si>
    <t>dgreco@vineland.org</t>
  </si>
  <si>
    <t>371 W FOREST GROVE RD</t>
  </si>
  <si>
    <t>Pauline J. Petway Elementary School</t>
  </si>
  <si>
    <t>Mongelluzzo</t>
  </si>
  <si>
    <t>jmongelluzo@vineland.org</t>
  </si>
  <si>
    <t>1115 SO  LINCOLN AVE</t>
  </si>
  <si>
    <t>Fiore</t>
  </si>
  <si>
    <t>Sgt. Dominick Pilla Middle School</t>
  </si>
  <si>
    <t>Oshenic</t>
  </si>
  <si>
    <t>noshenic@vineland.org</t>
  </si>
  <si>
    <t>3133 S Lincoln Ave</t>
  </si>
  <si>
    <t>Sylvia</t>
  </si>
  <si>
    <t>smorano@vineland.org</t>
  </si>
  <si>
    <t>1578 NORTH VALLEY AVE</t>
  </si>
  <si>
    <t>Thomas W. Wallace Jr. Middle School</t>
  </si>
  <si>
    <t>Roselyn</t>
  </si>
  <si>
    <t>Rosado</t>
  </si>
  <si>
    <t>rrosado@vineland.org</t>
  </si>
  <si>
    <t>688 NORTH MILL ROAD</t>
  </si>
  <si>
    <t>Veterans Memorial Middle</t>
  </si>
  <si>
    <t>Rafael</t>
  </si>
  <si>
    <t>Maysonet</t>
  </si>
  <si>
    <t>rmaysonet@vineland.org</t>
  </si>
  <si>
    <t>424 S MAIN RD</t>
  </si>
  <si>
    <t>Vineland Senior High School</t>
  </si>
  <si>
    <t>jjadams@vineland.org</t>
  </si>
  <si>
    <t>2880 E CHESTNUT AVE</t>
  </si>
  <si>
    <t>Belleville Public School District</t>
  </si>
  <si>
    <t>Belleville High School</t>
  </si>
  <si>
    <t>Caleb</t>
  </si>
  <si>
    <t>Rhodes</t>
  </si>
  <si>
    <t>caleb.rhodes@bellevilleschools.org</t>
  </si>
  <si>
    <t>100 PASSAIC AVE</t>
  </si>
  <si>
    <t>BELLEVILLE</t>
  </si>
  <si>
    <t>Francis</t>
  </si>
  <si>
    <t>Belleville Middle School</t>
  </si>
  <si>
    <t>Giachetti</t>
  </si>
  <si>
    <t>charles.giachetti@bellevilleschools.org</t>
  </si>
  <si>
    <t>279 WASHINGTON AVE</t>
  </si>
  <si>
    <t>Belleville PS3</t>
  </si>
  <si>
    <t>Puglia</t>
  </si>
  <si>
    <t>stephen.puglia@bellevilleschools.org</t>
  </si>
  <si>
    <t>230 JORALEMON ST</t>
  </si>
  <si>
    <t>Belton</t>
  </si>
  <si>
    <t>Mueller</t>
  </si>
  <si>
    <t>Belleville PS9</t>
  </si>
  <si>
    <t>Romain</t>
  </si>
  <si>
    <t>Royal</t>
  </si>
  <si>
    <t>romain.royal@bellevilleschools.org</t>
  </si>
  <si>
    <t>301 RALPH ST</t>
  </si>
  <si>
    <t>Bloomfield Township School District</t>
  </si>
  <si>
    <t>Berkeley Elementary School</t>
  </si>
  <si>
    <t>Natashia</t>
  </si>
  <si>
    <t>Baxter</t>
  </si>
  <si>
    <t>nbaxter@bloomfield.k12.nj.us</t>
  </si>
  <si>
    <t>351 Bloomfield Ave</t>
  </si>
  <si>
    <t>Bloomfield</t>
  </si>
  <si>
    <t>Bloomfield High School</t>
  </si>
  <si>
    <t>Jennings</t>
  </si>
  <si>
    <t>cjennings@bloomfield.k12.nj.us</t>
  </si>
  <si>
    <t>160 Broad Street</t>
  </si>
  <si>
    <t>Bloomfield Middle School</t>
  </si>
  <si>
    <t>Alla</t>
  </si>
  <si>
    <t>Vayda-Manzo</t>
  </si>
  <si>
    <t>avayda@bloomfield.k12.nj.us</t>
  </si>
  <si>
    <t>60 Huck Road</t>
  </si>
  <si>
    <t>Brookdale Elementary School</t>
  </si>
  <si>
    <t>Barton</t>
  </si>
  <si>
    <t>lbarton@bloomfield.k12.nj.us</t>
  </si>
  <si>
    <t>1230 Broad Street</t>
  </si>
  <si>
    <t>Carteret Elementary School</t>
  </si>
  <si>
    <t>Baltz</t>
  </si>
  <si>
    <t>jbaltz@bloomfield.k12.nj.us</t>
  </si>
  <si>
    <t>158 Grove Street</t>
  </si>
  <si>
    <t>Demarest Elementary School</t>
  </si>
  <si>
    <t>msullivan@bloomfield.k12.nj.us</t>
  </si>
  <si>
    <t>465 Broughton Ave</t>
  </si>
  <si>
    <t>Fairview Elementary School</t>
  </si>
  <si>
    <t>Ginamarie</t>
  </si>
  <si>
    <t>Mignone</t>
  </si>
  <si>
    <t>gmignone@bloomfield.k12.nj.us</t>
  </si>
  <si>
    <t>376 Berkeley Avenue</t>
  </si>
  <si>
    <t>Oak View Elementary School</t>
  </si>
  <si>
    <t>Lo</t>
  </si>
  <si>
    <t>llo@bloomfield.k12.nj.us</t>
  </si>
  <si>
    <t>150 Garrabrant Avenue</t>
  </si>
  <si>
    <t>Watsessing Elementary School</t>
  </si>
  <si>
    <t>Shamshadeen</t>
  </si>
  <si>
    <t>Mayers</t>
  </si>
  <si>
    <t>smayers@bloomfield.k12.nj.us</t>
  </si>
  <si>
    <t>71 Prospect Street</t>
  </si>
  <si>
    <t>Caldwell-West School District</t>
  </si>
  <si>
    <t>Grover Cleveland Middle School</t>
  </si>
  <si>
    <t>Bertollo</t>
  </si>
  <si>
    <t>jbertollo@cwcboe.org</t>
  </si>
  <si>
    <t>36 ACADEMY RD</t>
  </si>
  <si>
    <t>CALDWELL</t>
  </si>
  <si>
    <t>West Caldwell</t>
  </si>
  <si>
    <t>James Caldwell High School</t>
  </si>
  <si>
    <t>JAMES</t>
  </si>
  <si>
    <t>DEVLIN</t>
  </si>
  <si>
    <t>jdevlin@cwcboe.org</t>
  </si>
  <si>
    <t>265 WESTVILLE AVE</t>
  </si>
  <si>
    <t>WEST CALDWELL</t>
  </si>
  <si>
    <t>TIMOTHY</t>
  </si>
  <si>
    <t>AYERS</t>
  </si>
  <si>
    <t>tayers@cwcboe.org</t>
  </si>
  <si>
    <t>85 PROSPECT ST</t>
  </si>
  <si>
    <t>Emily</t>
  </si>
  <si>
    <t>Wilson Elementary School</t>
  </si>
  <si>
    <t>Lincoln</t>
  </si>
  <si>
    <t>flincoln@cwcboe.org</t>
  </si>
  <si>
    <t>71 ORTON RD</t>
  </si>
  <si>
    <t>Cedar Grove Township School District</t>
  </si>
  <si>
    <t>Cedar Grove High School</t>
  </si>
  <si>
    <t>Jody</t>
  </si>
  <si>
    <t>Inglis</t>
  </si>
  <si>
    <t>inglis.jody@cgschools.org</t>
  </si>
  <si>
    <t>90 Rugby Road</t>
  </si>
  <si>
    <t>Cedar Grove</t>
  </si>
  <si>
    <t>DeCorte</t>
  </si>
  <si>
    <t>decorte.nicholas@cgschools.org</t>
  </si>
  <si>
    <t>500 Ridge Road</t>
  </si>
  <si>
    <t>East Orange School District</t>
  </si>
  <si>
    <t>Carl</t>
  </si>
  <si>
    <t>Cicely L. Tyson Community Middle/High School</t>
  </si>
  <si>
    <t>English</t>
  </si>
  <si>
    <t>john.english@eastorange.k12.nj.us</t>
  </si>
  <si>
    <t>35 Winans Street</t>
  </si>
  <si>
    <t>East Orange Campus High School</t>
  </si>
  <si>
    <t>Taniesha</t>
  </si>
  <si>
    <t>t.whitaker@eastorange.k12.nj.us</t>
  </si>
  <si>
    <t>344 PROSPECT STREET</t>
  </si>
  <si>
    <t>East Orange STEM Academy High School</t>
  </si>
  <si>
    <t>Stallings</t>
  </si>
  <si>
    <t>v.stallings@eastorange.k12.nj.us</t>
  </si>
  <si>
    <t>129 RENSHAW AVENUE</t>
  </si>
  <si>
    <t>Crystal</t>
  </si>
  <si>
    <t>John L. Costley Middle School</t>
  </si>
  <si>
    <t>Thelma</t>
  </si>
  <si>
    <t>Ramsey</t>
  </si>
  <si>
    <t>t.ramsey@eastorange.k12.nj.us</t>
  </si>
  <si>
    <t>116 HAMILTON ST</t>
  </si>
  <si>
    <t>Benjamin</t>
  </si>
  <si>
    <t>Patrick F. Healy Middle School</t>
  </si>
  <si>
    <t>Willie</t>
  </si>
  <si>
    <t>Worley</t>
  </si>
  <si>
    <t>willie.worley@eastorange.k12.nj.us</t>
  </si>
  <si>
    <t>Sojourner Truth Middle School</t>
  </si>
  <si>
    <t>Flore-Nadeige</t>
  </si>
  <si>
    <t>Lovett</t>
  </si>
  <si>
    <t>f.lovett@eastorange.k12.nj.us</t>
  </si>
  <si>
    <t>Essex County Schools of Technology</t>
  </si>
  <si>
    <t>Love</t>
  </si>
  <si>
    <t>elove@essextech.org</t>
  </si>
  <si>
    <t>498-544 West Market St</t>
  </si>
  <si>
    <t>Essex County Newark Tech</t>
  </si>
  <si>
    <t>Jenabu</t>
  </si>
  <si>
    <t>jwilliams@essextech.org</t>
  </si>
  <si>
    <t>91 West Market St</t>
  </si>
  <si>
    <t>Essex County West Caldwell Tech</t>
  </si>
  <si>
    <t>Ayisha</t>
  </si>
  <si>
    <t>arobinson@essextech.org</t>
  </si>
  <si>
    <t>620 Passaic Ave</t>
  </si>
  <si>
    <t>Essex Fells School District</t>
  </si>
  <si>
    <t>Essex Fells Elementary School</t>
  </si>
  <si>
    <t>Gadaleta</t>
  </si>
  <si>
    <t>mvgadaleta@efsk-6.org</t>
  </si>
  <si>
    <t>102 HAWTHORNE RD</t>
  </si>
  <si>
    <t>ESSEX FELLS</t>
  </si>
  <si>
    <t>Essex Regional Educational Services Commission</t>
  </si>
  <si>
    <t>Essex Campus Academy</t>
  </si>
  <si>
    <t>Akil</t>
  </si>
  <si>
    <t>Boucaud</t>
  </si>
  <si>
    <t>a.boucaud@eresc.com</t>
  </si>
  <si>
    <t>369 PASSAIC AVENUE</t>
  </si>
  <si>
    <t>FAIRFIELD</t>
  </si>
  <si>
    <t>Essex High School</t>
  </si>
  <si>
    <t>369 Passaic Avenue</t>
  </si>
  <si>
    <t>Fairfield</t>
  </si>
  <si>
    <t>Essex Junior Academy</t>
  </si>
  <si>
    <t>Pinkney</t>
  </si>
  <si>
    <t>d.pinkney@eresc.com</t>
  </si>
  <si>
    <t>Fairfield Public School District</t>
  </si>
  <si>
    <t>Winston S. Churchill School</t>
  </si>
  <si>
    <t>Santana</t>
  </si>
  <si>
    <t>santanar@fpsk6.org</t>
  </si>
  <si>
    <t>233 FAIRFIELD ROAD</t>
  </si>
  <si>
    <t>Glen Ridge Public School District</t>
  </si>
  <si>
    <t>Keisha</t>
  </si>
  <si>
    <t>kharris@glenridge.org</t>
  </si>
  <si>
    <t>180 Hillside Ave</t>
  </si>
  <si>
    <t>Glen Ridge</t>
  </si>
  <si>
    <t>Forest Avenue School</t>
  </si>
  <si>
    <t>mmurphy@glenridge.org</t>
  </si>
  <si>
    <t>287 FOREST AVE</t>
  </si>
  <si>
    <t>GLEN RIDGE</t>
  </si>
  <si>
    <t>Glen Ridge High School</t>
  </si>
  <si>
    <t>Lawlor</t>
  </si>
  <si>
    <t>Jlawlor@glenridge.org</t>
  </si>
  <si>
    <t>200 RIDGEWOOD AVE</t>
  </si>
  <si>
    <t>Linden Avenue School</t>
  </si>
  <si>
    <t>Caravela</t>
  </si>
  <si>
    <t>jcaravela@glenridge.org</t>
  </si>
  <si>
    <t>205 LINDEN AVE</t>
  </si>
  <si>
    <t>Ridgewood Avenue School</t>
  </si>
  <si>
    <t>Donovan</t>
  </si>
  <si>
    <t>mdonovan@glenridge.org</t>
  </si>
  <si>
    <t>235 RIDGEWOOD AVE</t>
  </si>
  <si>
    <t>Irvington Public School District</t>
  </si>
  <si>
    <t>Leon</t>
  </si>
  <si>
    <t>Chancellor Avenue Elementary School</t>
  </si>
  <si>
    <t>atucker@irvington.k12.nj.us</t>
  </si>
  <si>
    <t>844     CHANCELLOR AVENUE</t>
  </si>
  <si>
    <t>Florence Avenue Elementary School</t>
  </si>
  <si>
    <t>Frantz</t>
  </si>
  <si>
    <t>Meronvil</t>
  </si>
  <si>
    <t>fmeronvil@irvington.k12.nj.us</t>
  </si>
  <si>
    <t>1324      SPRINGFIELD AVENUE</t>
  </si>
  <si>
    <t>Irvington High School</t>
  </si>
  <si>
    <t>Darnel</t>
  </si>
  <si>
    <t>Mangan</t>
  </si>
  <si>
    <t>dmangan@irvington.k12.nj.us</t>
  </si>
  <si>
    <t>1253      CLINTON AVE</t>
  </si>
  <si>
    <t>Wright</t>
  </si>
  <si>
    <t>Ramirez</t>
  </si>
  <si>
    <t>Union Avenue Middle School</t>
  </si>
  <si>
    <t>Kcyied</t>
  </si>
  <si>
    <t>Zahir</t>
  </si>
  <si>
    <t>kzahir@irvington.k12.nj.us</t>
  </si>
  <si>
    <t>427     UNION AVE</t>
  </si>
  <si>
    <t>Vargas</t>
  </si>
  <si>
    <t>University Middle School</t>
  </si>
  <si>
    <t>Bussacco</t>
  </si>
  <si>
    <t>mbussacco@irvington.k12.nj.us</t>
  </si>
  <si>
    <t>255 MYRTLE AVE</t>
  </si>
  <si>
    <t>Livingston Board of Education School District</t>
  </si>
  <si>
    <t>LIVINGSTON</t>
  </si>
  <si>
    <t>Collins Elementary School</t>
  </si>
  <si>
    <t>Cebula</t>
  </si>
  <si>
    <t>mcebula@livingston.org</t>
  </si>
  <si>
    <t>67 MARTIN RD</t>
  </si>
  <si>
    <t>Harrison Elementary School</t>
  </si>
  <si>
    <t>dgarcia@livingston.org</t>
  </si>
  <si>
    <t>148 North Livingston Ave</t>
  </si>
  <si>
    <t>Heritage Middle School</t>
  </si>
  <si>
    <t>skelly@livingston.org</t>
  </si>
  <si>
    <t>20 FOXCROFT DR</t>
  </si>
  <si>
    <t>Gramata</t>
  </si>
  <si>
    <t>cgramata@livingston.org</t>
  </si>
  <si>
    <t>98 Belmont Drive</t>
  </si>
  <si>
    <t>Livingston High School</t>
  </si>
  <si>
    <t>Amro</t>
  </si>
  <si>
    <t>Mohammed</t>
  </si>
  <si>
    <t>amohammed@livingston.org</t>
  </si>
  <si>
    <t>30 ROBERT HARP DRIVE</t>
  </si>
  <si>
    <t>Lorena</t>
  </si>
  <si>
    <t>Dolan</t>
  </si>
  <si>
    <t>ldolan@livingston.org</t>
  </si>
  <si>
    <t>11 BROADLAWN DR</t>
  </si>
  <si>
    <t>Mount Pleasant Middle School</t>
  </si>
  <si>
    <t>Bronawyn</t>
  </si>
  <si>
    <t>OLeary</t>
  </si>
  <si>
    <t>boleary@livingston.org</t>
  </si>
  <si>
    <t>Riker Hill Elementary School</t>
  </si>
  <si>
    <t>Benavides</t>
  </si>
  <si>
    <t>bbenavides@livingston.org</t>
  </si>
  <si>
    <t>31 BLACKSTONE DR</t>
  </si>
  <si>
    <t>Millburn Township School District</t>
  </si>
  <si>
    <t>Deerfield School</t>
  </si>
  <si>
    <t>kelly.salazar@millburn.org</t>
  </si>
  <si>
    <t>26 TROY LANE</t>
  </si>
  <si>
    <t>SHORT HILLS</t>
  </si>
  <si>
    <t>Glenwood School</t>
  </si>
  <si>
    <t>Jasin</t>
  </si>
  <si>
    <t>david.jasin@millburn.org</t>
  </si>
  <si>
    <t>325 TAYLOR ROAD  SOUTH</t>
  </si>
  <si>
    <t>Hartshorn School</t>
  </si>
  <si>
    <t>debra.ostrowski@millburn.org</t>
  </si>
  <si>
    <t>400 HARTSHORN DRIVE</t>
  </si>
  <si>
    <t>Millburn High School</t>
  </si>
  <si>
    <t>Miron</t>
  </si>
  <si>
    <t>william.miron@millburn.org</t>
  </si>
  <si>
    <t>462 MILLBURN AVE</t>
  </si>
  <si>
    <t>MILLBURN</t>
  </si>
  <si>
    <t>Millburn Middle School</t>
  </si>
  <si>
    <t>Sack</t>
  </si>
  <si>
    <t>jill.sack@millburn.org</t>
  </si>
  <si>
    <t>25 OLD SHORT HILLS RD</t>
  </si>
  <si>
    <t>Fiory</t>
  </si>
  <si>
    <t>Wyoming School</t>
  </si>
  <si>
    <t>kristin.mueller@millburn.org</t>
  </si>
  <si>
    <t>55 MYRTLE AVE</t>
  </si>
  <si>
    <t>Mongon</t>
  </si>
  <si>
    <t>Montclair Public School District</t>
  </si>
  <si>
    <t>Bradford Elementary School</t>
  </si>
  <si>
    <t>Frances</t>
  </si>
  <si>
    <t>Aboushi</t>
  </si>
  <si>
    <t>faboushi@montclair.k12.nj.us</t>
  </si>
  <si>
    <t>87 MT HEBRON RD</t>
  </si>
  <si>
    <t>UPPER MONTCLAIR</t>
  </si>
  <si>
    <t>Marcy</t>
  </si>
  <si>
    <t>Buzz Aldrin Middle School</t>
  </si>
  <si>
    <t>Major</t>
  </si>
  <si>
    <t>mbjennings@montclair.k12.nj.us</t>
  </si>
  <si>
    <t>173 BELLEVUE AVE</t>
  </si>
  <si>
    <t>Charles H. Bullock School</t>
  </si>
  <si>
    <t>Nami</t>
  </si>
  <si>
    <t>Kuwabara</t>
  </si>
  <si>
    <t>nkuwabara@montclair.k12.nj.us</t>
  </si>
  <si>
    <t>55 Washington Street</t>
  </si>
  <si>
    <t>MONTCLAIR</t>
  </si>
  <si>
    <t>Edgemont Elementary School</t>
  </si>
  <si>
    <t>Briony</t>
  </si>
  <si>
    <t>Carr-Clemente</t>
  </si>
  <si>
    <t>bcarrclemente@montclair.k12.nj.us</t>
  </si>
  <si>
    <t>20 EDGEMONT RD</t>
  </si>
  <si>
    <t>Glenfield Middle School</t>
  </si>
  <si>
    <t>Marcos</t>
  </si>
  <si>
    <t>mvargas@montclair.k12.nj.us</t>
  </si>
  <si>
    <t>25 MAPLE AVE</t>
  </si>
  <si>
    <t>Edwyn</t>
  </si>
  <si>
    <t>Acevedo</t>
  </si>
  <si>
    <t>eacevedo@montclair.k12.nj.us</t>
  </si>
  <si>
    <t>54 ORANGE RD</t>
  </si>
  <si>
    <t>Montclair High School</t>
  </si>
  <si>
    <t>Freeman</t>
  </si>
  <si>
    <t>jfreeman@montclair.k12.nj.us</t>
  </si>
  <si>
    <t>100 CHESTNUT ST</t>
  </si>
  <si>
    <t>Northeast Elementary School</t>
  </si>
  <si>
    <t>Putrino</t>
  </si>
  <si>
    <t>jputrino@montclair.k12.nj.us</t>
  </si>
  <si>
    <t>603 GROVE ST</t>
  </si>
  <si>
    <t>Renaissance Middle School at the Rand Building</t>
  </si>
  <si>
    <t>Francisco</t>
  </si>
  <si>
    <t>mfrancisco@montclair.k12.nj.us</t>
  </si>
  <si>
    <t>176 North Fullerton Avenue</t>
  </si>
  <si>
    <t>Watchung Elementary School</t>
  </si>
  <si>
    <t>Krenn</t>
  </si>
  <si>
    <t>pkrenn@montclair.k12.nj.us</t>
  </si>
  <si>
    <t>14 GARDEN ST</t>
  </si>
  <si>
    <t>Newark Public School District</t>
  </si>
  <si>
    <t>Alejandro</t>
  </si>
  <si>
    <t>American History High School</t>
  </si>
  <si>
    <t>MMurray@nps.k12.nj.us</t>
  </si>
  <si>
    <t>74 Montgomery St</t>
  </si>
  <si>
    <t>Ann Street School</t>
  </si>
  <si>
    <t>Isabel</t>
  </si>
  <si>
    <t>IMARQUES@nps.k12.nj.us</t>
  </si>
  <si>
    <t>30 ANN ST</t>
  </si>
  <si>
    <t>Arts High School</t>
  </si>
  <si>
    <t>Sharpe</t>
  </si>
  <si>
    <t>Rsharpe@NPS.K12.NJ.US</t>
  </si>
  <si>
    <t>550 M  L  KING BLVD</t>
  </si>
  <si>
    <t>Bard Early College High School</t>
  </si>
  <si>
    <t>Cutts</t>
  </si>
  <si>
    <t>dcutts@nps.k12.nj.us</t>
  </si>
  <si>
    <t>321 BERGEN STREET</t>
  </si>
  <si>
    <t>Barringer High School</t>
  </si>
  <si>
    <t>Pared</t>
  </si>
  <si>
    <t>npared@nps.k12.nj.us</t>
  </si>
  <si>
    <t>90 PARKER ST</t>
  </si>
  <si>
    <t>Bruce Street School</t>
  </si>
  <si>
    <t>Malcolm</t>
  </si>
  <si>
    <t>Terrell</t>
  </si>
  <si>
    <t>MTerrell@NPS.K12.NJ.US</t>
  </si>
  <si>
    <t>333 CLINTON PL</t>
  </si>
  <si>
    <t>Central High School</t>
  </si>
  <si>
    <t>Terri</t>
  </si>
  <si>
    <t>TVMitchell@NPS.K12.NJ.US</t>
  </si>
  <si>
    <t>250 18TH AVENUE</t>
  </si>
  <si>
    <t>Foster</t>
  </si>
  <si>
    <t>Eagle Academy for Young Men of Newark</t>
  </si>
  <si>
    <t>Semone</t>
  </si>
  <si>
    <t>Morant</t>
  </si>
  <si>
    <t>SMorant@NPS.K12.NJ.US</t>
  </si>
  <si>
    <t>279 Chancellor Avenue</t>
  </si>
  <si>
    <t>Anderson</t>
  </si>
  <si>
    <t>East Side High School</t>
  </si>
  <si>
    <t>CRodriguez@nps.k12.nj.us</t>
  </si>
  <si>
    <t>238 VAN BUREN ST</t>
  </si>
  <si>
    <t>Edwin</t>
  </si>
  <si>
    <t>Hawkins Street School</t>
  </si>
  <si>
    <t>A1Lopez@NPS.K12.NJ.US</t>
  </si>
  <si>
    <t>8 HAWKINS ST</t>
  </si>
  <si>
    <t>Ironbound Academy Elementary School</t>
  </si>
  <si>
    <t>Paich</t>
  </si>
  <si>
    <t>epaich@nps.k12.nj.us</t>
  </si>
  <si>
    <t>366 East Kinney Street</t>
  </si>
  <si>
    <t>John F. Kennedy School</t>
  </si>
  <si>
    <t>Summers-Phillips</t>
  </si>
  <si>
    <t>jsummers@nps.k12.nj.us</t>
  </si>
  <si>
    <t>311 S TENTH ST</t>
  </si>
  <si>
    <t>Pereira</t>
  </si>
  <si>
    <t>Malcolm X Shabazz High School</t>
  </si>
  <si>
    <t>Atiba</t>
  </si>
  <si>
    <t>Buckman</t>
  </si>
  <si>
    <t>ABuckman@NPS.K12.NJ.US</t>
  </si>
  <si>
    <t>80 JOHNSON AVE</t>
  </si>
  <si>
    <t>NJ Regional Day School - Newark</t>
  </si>
  <si>
    <t>Ramkissoon</t>
  </si>
  <si>
    <t>Lramkissoon@NPS.K12.NJ.US</t>
  </si>
  <si>
    <t>334 LYONS AVE</t>
  </si>
  <si>
    <t>Elyse</t>
  </si>
  <si>
    <t>Newark Sch of Data Science and Information Technology</t>
  </si>
  <si>
    <t>Liana</t>
  </si>
  <si>
    <t>Summey</t>
  </si>
  <si>
    <t>LSummey@NPS.K12.NJ.US</t>
  </si>
  <si>
    <t>746 Sanford Avenue</t>
  </si>
  <si>
    <t>Newark School of Fashion &amp; Design</t>
  </si>
  <si>
    <t>Sakina</t>
  </si>
  <si>
    <t>Pitts</t>
  </si>
  <si>
    <t>s1pitts@nps.k12.nj.us</t>
  </si>
  <si>
    <t>239 Woodside Avenue</t>
  </si>
  <si>
    <t>Newark School of Global Studies</t>
  </si>
  <si>
    <t>Nelson</t>
  </si>
  <si>
    <t>NRuiz@nps.k12.nj.us</t>
  </si>
  <si>
    <t>24 Crane Street</t>
  </si>
  <si>
    <t>Newark Vocational High School</t>
  </si>
  <si>
    <t>Karisa</t>
  </si>
  <si>
    <t>Neis-Lopez</t>
  </si>
  <si>
    <t>k3lopez@NPS.K12.NJ.US</t>
  </si>
  <si>
    <t>301 WEST KINNEY ST</t>
  </si>
  <si>
    <t>Science Park High School</t>
  </si>
  <si>
    <t>Darleen</t>
  </si>
  <si>
    <t>Gearhart</t>
  </si>
  <si>
    <t>dgearhart@NPS.K12.NJ.US</t>
  </si>
  <si>
    <t>260 NORFOLK STREET</t>
  </si>
  <si>
    <t>Technology High School</t>
  </si>
  <si>
    <t>edreyes@nps.k12.nj.us</t>
  </si>
  <si>
    <t>223 BROADWAY</t>
  </si>
  <si>
    <t>University High School</t>
  </si>
  <si>
    <t>Genique</t>
  </si>
  <si>
    <t>Flournoy-Hamilton</t>
  </si>
  <si>
    <t>gflournoy@nps.k12.nj.us</t>
  </si>
  <si>
    <t>55 CLINTON PL</t>
  </si>
  <si>
    <t>Weequahic High School</t>
  </si>
  <si>
    <t>K1Thomas@nps.k12.nj.us</t>
  </si>
  <si>
    <t>279 CHANCELLOR AVE</t>
  </si>
  <si>
    <t>West Side High School</t>
  </si>
  <si>
    <t>Akbar</t>
  </si>
  <si>
    <t>AHCook@NPS.K12.NJ.US</t>
  </si>
  <si>
    <t>403 South Orange Avenue</t>
  </si>
  <si>
    <t>Wilson Avenue School</t>
  </si>
  <si>
    <t>Margarita</t>
  </si>
  <si>
    <t>mhernandez@nps.k12.nj.us</t>
  </si>
  <si>
    <t>19 WILSON AVE</t>
  </si>
  <si>
    <t>Bonilla</t>
  </si>
  <si>
    <t>North Caldwell School District</t>
  </si>
  <si>
    <t>Gould/Mountain Elementary School</t>
  </si>
  <si>
    <t>Checchetto</t>
  </si>
  <si>
    <t>cchecchetto@ncboe.org</t>
  </si>
  <si>
    <t>132 GOULD AVE</t>
  </si>
  <si>
    <t>N CALDWELL</t>
  </si>
  <si>
    <t>Decker</t>
  </si>
  <si>
    <t>Grandview Elementary School</t>
  </si>
  <si>
    <t>Francesco</t>
  </si>
  <si>
    <t>Bifulco</t>
  </si>
  <si>
    <t>fbifulco@ncboe.org</t>
  </si>
  <si>
    <t>35 HAMILTON DR EAST</t>
  </si>
  <si>
    <t>Nutley Public School District</t>
  </si>
  <si>
    <t>John H. Walker Middle School</t>
  </si>
  <si>
    <t>JOSEPH</t>
  </si>
  <si>
    <t>MATERIA</t>
  </si>
  <si>
    <t>JMATERIA@NUTLEYSCHOOLS.ORG</t>
  </si>
  <si>
    <t>325 FRANKLIN AVE</t>
  </si>
  <si>
    <t>NUTLEY</t>
  </si>
  <si>
    <t>Devore</t>
  </si>
  <si>
    <t>jdevore@NUTLEYSCHOOLS.ORG</t>
  </si>
  <si>
    <t>301 HARRISON ST</t>
  </si>
  <si>
    <t>Nutley High School</t>
  </si>
  <si>
    <t>DENIS</t>
  </si>
  <si>
    <t>WILLIAMS</t>
  </si>
  <si>
    <t>dwilliams@nutleyschools.org</t>
  </si>
  <si>
    <t>300 FRANKLIN AVE</t>
  </si>
  <si>
    <t>Radcliffe School</t>
  </si>
  <si>
    <t>Kearney</t>
  </si>
  <si>
    <t>mkearney@nutleyschools.org</t>
  </si>
  <si>
    <t>379 BLOOMFIELD AVE</t>
  </si>
  <si>
    <t>Yantacaw School</t>
  </si>
  <si>
    <t>Francia</t>
  </si>
  <si>
    <t>ffrancia@nutleyschools.org</t>
  </si>
  <si>
    <t>20 YANTACAW PLACE</t>
  </si>
  <si>
    <t>ORANGE BOARD OF EDUCATION School District</t>
  </si>
  <si>
    <t>Central Elementary School</t>
  </si>
  <si>
    <t>whiteden@orange.k12.nj.us</t>
  </si>
  <si>
    <t>33 Cleveland Street</t>
  </si>
  <si>
    <t>Orange</t>
  </si>
  <si>
    <t>Cleveland Street Elementary School</t>
  </si>
  <si>
    <t>Wesley</t>
  </si>
  <si>
    <t>wesleyte@orange.k12.nj.us</t>
  </si>
  <si>
    <t>355 CLEVELAND ST</t>
  </si>
  <si>
    <t>ORANGE</t>
  </si>
  <si>
    <t>Jeannette</t>
  </si>
  <si>
    <t>Lincoln Avenue Elementary School</t>
  </si>
  <si>
    <t>Yearwood</t>
  </si>
  <si>
    <t>yearwopa@orange.k12.nj.us</t>
  </si>
  <si>
    <t>216 LINCOLN AVE</t>
  </si>
  <si>
    <t>Orange High School</t>
  </si>
  <si>
    <t>beltonja@orange.k12.nj.us</t>
  </si>
  <si>
    <t>400 LINCOLN AVE</t>
  </si>
  <si>
    <t>Orange Preparatory Academy School of Inquiry and Innovation</t>
  </si>
  <si>
    <t>Halstead</t>
  </si>
  <si>
    <t>halsteca@orange.k12.nj.us</t>
  </si>
  <si>
    <t>400 CENTRAL AVE</t>
  </si>
  <si>
    <t>Berry</t>
  </si>
  <si>
    <t>Rosa Parks Community School</t>
  </si>
  <si>
    <t>Joseph-Charles</t>
  </si>
  <si>
    <t>josephde@orange.k12.nj.us</t>
  </si>
  <si>
    <t>369 MAIN STREET</t>
  </si>
  <si>
    <t>STEM Innovation Academy of the Oranges</t>
  </si>
  <si>
    <t>Devonnii</t>
  </si>
  <si>
    <t>Reid</t>
  </si>
  <si>
    <t>Reiddevo@orange.k12.nj.us</t>
  </si>
  <si>
    <t>445 Scotland Road</t>
  </si>
  <si>
    <t>South Orange</t>
  </si>
  <si>
    <t>Roseland School District</t>
  </si>
  <si>
    <t>Lester C Noecker</t>
  </si>
  <si>
    <t>Raul</t>
  </si>
  <si>
    <t>Sandoval</t>
  </si>
  <si>
    <t>rsandoval@roselandnjboe.org</t>
  </si>
  <si>
    <t>ROSELAND</t>
  </si>
  <si>
    <t>South Orange-Maplewood School District</t>
  </si>
  <si>
    <t>Clinton Elementary School</t>
  </si>
  <si>
    <t>Butler</t>
  </si>
  <si>
    <t>mbutler@somsd.k12.nj.us</t>
  </si>
  <si>
    <t>27 BERKSHIRE RD</t>
  </si>
  <si>
    <t>MAPLEWOOD</t>
  </si>
  <si>
    <t>Columbia High School</t>
  </si>
  <si>
    <t>fsanchez@somsd.k12.nj.us</t>
  </si>
  <si>
    <t>17 PARKER AVE</t>
  </si>
  <si>
    <t>Delia Bolden Elementary School</t>
  </si>
  <si>
    <t>khutchin@somsd.k12.nj.us</t>
  </si>
  <si>
    <t>518 RIDGEWOOD RD</t>
  </si>
  <si>
    <t>Maplewood Middle School</t>
  </si>
  <si>
    <t>Gronau</t>
  </si>
  <si>
    <t>dgronau@somsd.k12.nj.us</t>
  </si>
  <si>
    <t>7 BURNETT ST</t>
  </si>
  <si>
    <t>Marshall Elementary School</t>
  </si>
  <si>
    <t>Swyberius</t>
  </si>
  <si>
    <t>lswyberi@somsd.k12.nj.us</t>
  </si>
  <si>
    <t>262 GROVE RD</t>
  </si>
  <si>
    <t>S ORANGE</t>
  </si>
  <si>
    <t>Seth Boyden Elementary Demonstration School</t>
  </si>
  <si>
    <t>Glander</t>
  </si>
  <si>
    <t>sglander@somsd.k12.nj.us</t>
  </si>
  <si>
    <t>274 BOYDEN AVE</t>
  </si>
  <si>
    <t>South Mountain Elementary School</t>
  </si>
  <si>
    <t>kmason@somsd.k12.nj.us</t>
  </si>
  <si>
    <t>444  WEST SOUTH ORANGE AVE</t>
  </si>
  <si>
    <t>South Orange Middle School</t>
  </si>
  <si>
    <t>Irby</t>
  </si>
  <si>
    <t>lirby@somsd.k12.nj.us</t>
  </si>
  <si>
    <t>70 North Ridgewood Road</t>
  </si>
  <si>
    <t>Tuscan Elementary School</t>
  </si>
  <si>
    <t>Malikah</t>
  </si>
  <si>
    <t>Majeed</t>
  </si>
  <si>
    <t>mmajeed@somsd.k12.nj.us</t>
  </si>
  <si>
    <t>25 HARVARD AVE</t>
  </si>
  <si>
    <t>Verona Public School District</t>
  </si>
  <si>
    <t>Brookdale Avenue School</t>
  </si>
  <si>
    <t>Stuto</t>
  </si>
  <si>
    <t>nstuto@veronaschools.org</t>
  </si>
  <si>
    <t>14 BROOKDALE COURT</t>
  </si>
  <si>
    <t>VERONA</t>
  </si>
  <si>
    <t>Monacelli</t>
  </si>
  <si>
    <t>jmonacelli@veronaschools.org</t>
  </si>
  <si>
    <t>118 FOREST AVE</t>
  </si>
  <si>
    <t>Frederic N. Brown Elementary School</t>
  </si>
  <si>
    <t>Lanzo</t>
  </si>
  <si>
    <t>alanzo@veronaschools.org</t>
  </si>
  <si>
    <t>125 GROVE AVE</t>
  </si>
  <si>
    <t>Henry B. Whitehorne Middle School</t>
  </si>
  <si>
    <t>Galbierczyk</t>
  </si>
  <si>
    <t>dgalbierczyk@veronaschools.org</t>
  </si>
  <si>
    <t>600 BLOOMFIELD AVE</t>
  </si>
  <si>
    <t>Verona High School</t>
  </si>
  <si>
    <t>Cogdill</t>
  </si>
  <si>
    <t>jcogdill@veronaschools.org</t>
  </si>
  <si>
    <t>151 FAIRVIEW AVE</t>
  </si>
  <si>
    <t>West Essex Regional School District</t>
  </si>
  <si>
    <t>West Essex High School</t>
  </si>
  <si>
    <t>Westervelt</t>
  </si>
  <si>
    <t>kwestervelt@westex.org</t>
  </si>
  <si>
    <t>65 WEST GREENBROOK RD</t>
  </si>
  <si>
    <t>NORTH CALDWELL</t>
  </si>
  <si>
    <t>West Essex Middle School</t>
  </si>
  <si>
    <t>Donlevie</t>
  </si>
  <si>
    <t>gdonlevie@westex.org</t>
  </si>
  <si>
    <t>West Orange Public Schools</t>
  </si>
  <si>
    <t>Edison Middle School</t>
  </si>
  <si>
    <t>smelendez@westorangeschools.org</t>
  </si>
  <si>
    <t>75 WILLIAM ST</t>
  </si>
  <si>
    <t>W ORANGE</t>
  </si>
  <si>
    <t>Gregory Elementary School</t>
  </si>
  <si>
    <t>Makeida</t>
  </si>
  <si>
    <t>Hewitt</t>
  </si>
  <si>
    <t>mhewitt@westorangeschools.org</t>
  </si>
  <si>
    <t>301 GREGORY AVE</t>
  </si>
  <si>
    <t>Hazel Avenue Elementary School</t>
  </si>
  <si>
    <t>jcastillo@westorangeschools.org</t>
  </si>
  <si>
    <t>45 HAZEL AVE</t>
  </si>
  <si>
    <t>Kelly Elementary School</t>
  </si>
  <si>
    <t>Marion</t>
  </si>
  <si>
    <t>dmarion@westorangeschools.org</t>
  </si>
  <si>
    <t>555 PLEASANT VALLEY WAY</t>
  </si>
  <si>
    <t>Liberty Middle School</t>
  </si>
  <si>
    <t>Xavier</t>
  </si>
  <si>
    <t>Fitzgerald</t>
  </si>
  <si>
    <t>xfitzgerald@westorangeschools.org</t>
  </si>
  <si>
    <t>1  KELLY  DRIVE</t>
  </si>
  <si>
    <t>WEST ORANGE</t>
  </si>
  <si>
    <t>Volpe</t>
  </si>
  <si>
    <t>mjlawrence@westorangeschools.org</t>
  </si>
  <si>
    <t>9 MANGER ROAD</t>
  </si>
  <si>
    <t>Redwood Elementary School</t>
  </si>
  <si>
    <t>Kimya</t>
  </si>
  <si>
    <t>kjackson@westorangeschools.org</t>
  </si>
  <si>
    <t>75 REDWOOD AVE</t>
  </si>
  <si>
    <t>Roosevelt Middle School</t>
  </si>
  <si>
    <t>Lionel</t>
  </si>
  <si>
    <t>Hush</t>
  </si>
  <si>
    <t>lhush@westorangeschools.org</t>
  </si>
  <si>
    <t>36 GILBERT PL</t>
  </si>
  <si>
    <t>St. Cloud Elementary School</t>
  </si>
  <si>
    <t>eprice@westorangeschools.org</t>
  </si>
  <si>
    <t>71 SHERIDAN AVE</t>
  </si>
  <si>
    <t>Wells</t>
  </si>
  <si>
    <t>West Orange High School</t>
  </si>
  <si>
    <t>Oscar</t>
  </si>
  <si>
    <t>Guerrero</t>
  </si>
  <si>
    <t>oguerrero@westorangeschools.org</t>
  </si>
  <si>
    <t>51 CONFORTI AVE</t>
  </si>
  <si>
    <t>Clayton Public School District</t>
  </si>
  <si>
    <t>Clayton High School</t>
  </si>
  <si>
    <t>Slater</t>
  </si>
  <si>
    <t>mslater@claytonps.org</t>
  </si>
  <si>
    <t>55 POP KRAMER BLVD</t>
  </si>
  <si>
    <t>CLAYTON</t>
  </si>
  <si>
    <t>Clayton Middle School</t>
  </si>
  <si>
    <t>Marvin</t>
  </si>
  <si>
    <t>mtucker@claytonps.org</t>
  </si>
  <si>
    <t>Clearview Regional High School District</t>
  </si>
  <si>
    <t>Clearview Regional High School</t>
  </si>
  <si>
    <t>Brook</t>
  </si>
  <si>
    <t>kbrook@clearviewregional.edu</t>
  </si>
  <si>
    <t>625 BREAKNECK RD</t>
  </si>
  <si>
    <t>MULLICA HILL</t>
  </si>
  <si>
    <t>Clearview Regional Middle School</t>
  </si>
  <si>
    <t>Bourquin</t>
  </si>
  <si>
    <t>kbourquin@clearviewregional.edu</t>
  </si>
  <si>
    <t>595 JEFFERSON RD</t>
  </si>
  <si>
    <t>Delsea Regional High School District</t>
  </si>
  <si>
    <t>Delsea Regional High School</t>
  </si>
  <si>
    <t>DePasquale</t>
  </si>
  <si>
    <t>mdepasquale@delsearegional.us</t>
  </si>
  <si>
    <t>242 FRIES MILL RD</t>
  </si>
  <si>
    <t>FRANKLINVILLE</t>
  </si>
  <si>
    <t>Delsea Regional Middle School</t>
  </si>
  <si>
    <t>Bertolino</t>
  </si>
  <si>
    <t>jbertolino@delsearegional.us</t>
  </si>
  <si>
    <t>FRIES MILL RD</t>
  </si>
  <si>
    <t>Deptford Township Public School District</t>
  </si>
  <si>
    <t>DEPTFORD</t>
  </si>
  <si>
    <t>Deptford Township High School</t>
  </si>
  <si>
    <t>Strouse</t>
  </si>
  <si>
    <t>strouse.j@deptford.k12.nj.us</t>
  </si>
  <si>
    <t>575 S FOX RUN RD</t>
  </si>
  <si>
    <t>Deptford Township Middle School</t>
  </si>
  <si>
    <t>Schilling</t>
  </si>
  <si>
    <t>schilling.j@deptford.k12.nj.us</t>
  </si>
  <si>
    <t>890 BANKBRIDGE RD</t>
  </si>
  <si>
    <t>SEWELL</t>
  </si>
  <si>
    <t>Good Intent Elementary School</t>
  </si>
  <si>
    <t>collins.j@deptford.k12.nj.us</t>
  </si>
  <si>
    <t>1555 GOOD INTENT RD</t>
  </si>
  <si>
    <t>Lake Tract Elementary School</t>
  </si>
  <si>
    <t>Lehman</t>
  </si>
  <si>
    <t>lehman.d@deptford.k12.nj.us</t>
  </si>
  <si>
    <t>690 ISZARD RD</t>
  </si>
  <si>
    <t>Oak Valley Elementary School</t>
  </si>
  <si>
    <t>Rambo</t>
  </si>
  <si>
    <t>rambo.r@deptford.k12.nj.us</t>
  </si>
  <si>
    <t>525 COLLEGE BLVD</t>
  </si>
  <si>
    <t>WENONAH</t>
  </si>
  <si>
    <t>Pine Acres Early Childhood Center</t>
  </si>
  <si>
    <t>Reminka</t>
  </si>
  <si>
    <t>williams.r@deptford.k12.nj.us</t>
  </si>
  <si>
    <t>720 PURDUE AVE</t>
  </si>
  <si>
    <t>Shady Lane Elementary School</t>
  </si>
  <si>
    <t>Merulla</t>
  </si>
  <si>
    <t>merulla.j@deptford.k12.nj.us</t>
  </si>
  <si>
    <t>130 PEACH STREET</t>
  </si>
  <si>
    <t>WESTVILLE</t>
  </si>
  <si>
    <t>East Greenwich Township School District</t>
  </si>
  <si>
    <t>Jeffrey Clark School</t>
  </si>
  <si>
    <t>Loggia</t>
  </si>
  <si>
    <t>loggiaj@eastgreenwich.k12.nj.us</t>
  </si>
  <si>
    <t>7 QUAKER RD</t>
  </si>
  <si>
    <t>MICKLETON</t>
  </si>
  <si>
    <t>Samuel Mickle School</t>
  </si>
  <si>
    <t>Bethanne</t>
  </si>
  <si>
    <t>Barousse</t>
  </si>
  <si>
    <t>barousseb@eastgreenwich.k12.nj.us</t>
  </si>
  <si>
    <t>559 KINGS HIGHWAY</t>
  </si>
  <si>
    <t>Lombardo</t>
  </si>
  <si>
    <t>Gateway Regional High School District</t>
  </si>
  <si>
    <t>Gateway Regional High School</t>
  </si>
  <si>
    <t>Pierro</t>
  </si>
  <si>
    <t>jpierro@gatewayhs.com</t>
  </si>
  <si>
    <t>775 TANYARD RD</t>
  </si>
  <si>
    <t>WOODBURY HTS</t>
  </si>
  <si>
    <t>Glassboro School District</t>
  </si>
  <si>
    <t>Dorothy L. Bullock School</t>
  </si>
  <si>
    <t>Kelly Ann</t>
  </si>
  <si>
    <t>Marchese</t>
  </si>
  <si>
    <t>kmarchese@gpsd.us</t>
  </si>
  <si>
    <t>370 New St E</t>
  </si>
  <si>
    <t>Glassboro</t>
  </si>
  <si>
    <t>Evans</t>
  </si>
  <si>
    <t>Glassboro High School</t>
  </si>
  <si>
    <t>Monique</t>
  </si>
  <si>
    <t>Stowman-Burke</t>
  </si>
  <si>
    <t>mstowman-burke@gpsd.us</t>
  </si>
  <si>
    <t>560 Joseph L Bowe Blvd</t>
  </si>
  <si>
    <t>Thomas E. Bowe Middle School</t>
  </si>
  <si>
    <t>Kerr</t>
  </si>
  <si>
    <t>lkerr@gpsd.us</t>
  </si>
  <si>
    <t>Carpenter Street and Mancuso Lane</t>
  </si>
  <si>
    <t>Sewell</t>
  </si>
  <si>
    <t>Gloucester County Vocational-Technical School District</t>
  </si>
  <si>
    <t>Sybil</t>
  </si>
  <si>
    <t>Girard</t>
  </si>
  <si>
    <t>sgirard@gcecnj.org</t>
  </si>
  <si>
    <t>1360 Tanyard Road</t>
  </si>
  <si>
    <t>Gloucester County Institute of Technology</t>
  </si>
  <si>
    <t>GIBBSTOWN</t>
  </si>
  <si>
    <t>Nehaunsey Middle School</t>
  </si>
  <si>
    <t>Hudson</t>
  </si>
  <si>
    <t>rhudson@gtsdk8.us</t>
  </si>
  <si>
    <t>415 SWEDESBORO ROAD</t>
  </si>
  <si>
    <t>Harrison Township School District</t>
  </si>
  <si>
    <t>Pleasant Valley School</t>
  </si>
  <si>
    <t>russok@harrisontwp.k12.nj.us</t>
  </si>
  <si>
    <t>401 CEDAR RD</t>
  </si>
  <si>
    <t>Kingsway Regional School District</t>
  </si>
  <si>
    <t>Kingsway Regional High School</t>
  </si>
  <si>
    <t>Fox-Manno</t>
  </si>
  <si>
    <t>mannos@krsd.us</t>
  </si>
  <si>
    <t>201 KINGS HIGHWAY</t>
  </si>
  <si>
    <t>WOOLWICH TWP</t>
  </si>
  <si>
    <t>Kingsway Regional Middle School</t>
  </si>
  <si>
    <t>Tonelli</t>
  </si>
  <si>
    <t>tonellib@krsd.us</t>
  </si>
  <si>
    <t>203 KINGS HIGHWAY</t>
  </si>
  <si>
    <t>Logan Township School District</t>
  </si>
  <si>
    <t>Logan Middle School</t>
  </si>
  <si>
    <t>Nikima</t>
  </si>
  <si>
    <t>nstewart@logantownshipschools.org</t>
  </si>
  <si>
    <t>110 School Lane</t>
  </si>
  <si>
    <t>Logan Township</t>
  </si>
  <si>
    <t>Logan Township Elementary School</t>
  </si>
  <si>
    <t>nstewart@LOGANTOWNSHIPSCHOOLS.ORG</t>
  </si>
  <si>
    <t>Mantua Township School District</t>
  </si>
  <si>
    <t>Centre City Elementary School</t>
  </si>
  <si>
    <t>jcavalieri@mantuaschools.com</t>
  </si>
  <si>
    <t>301 COLUMBUS DR</t>
  </si>
  <si>
    <t>MANTUA</t>
  </si>
  <si>
    <t>Monroe Township Public School District</t>
  </si>
  <si>
    <t>Williamstown High School</t>
  </si>
  <si>
    <t>DeStefano</t>
  </si>
  <si>
    <t>Adestefano@monroetwp.k12.nj.us</t>
  </si>
  <si>
    <t>700 N TUCKAHOE RD</t>
  </si>
  <si>
    <t>Williamstown Middle School</t>
  </si>
  <si>
    <t>Karim</t>
  </si>
  <si>
    <t>Kfisher@monroetwp.k12.nj.us</t>
  </si>
  <si>
    <t>561 CLAYTON RD</t>
  </si>
  <si>
    <t>Janelle</t>
  </si>
  <si>
    <t>Paulsboro School District</t>
  </si>
  <si>
    <t>PAULSBORO</t>
  </si>
  <si>
    <t>Loudenslager Elementary School</t>
  </si>
  <si>
    <t>Moore-Cook</t>
  </si>
  <si>
    <t>mmooreco@paulsboro.k12.nj.us</t>
  </si>
  <si>
    <t>100 BAIRD AVE</t>
  </si>
  <si>
    <t>Paulsboro High School</t>
  </si>
  <si>
    <t>Browne</t>
  </si>
  <si>
    <t>mbrowne@paulsboro.k12.nj.us</t>
  </si>
  <si>
    <t>670 N DELAWARE ST</t>
  </si>
  <si>
    <t>Paulsboro Junior High School</t>
  </si>
  <si>
    <t>670 N Delaware Street</t>
  </si>
  <si>
    <t>Paulsboro</t>
  </si>
  <si>
    <t>Pitman Boro School District</t>
  </si>
  <si>
    <t>Pitman</t>
  </si>
  <si>
    <t>Pitman Elementary School</t>
  </si>
  <si>
    <t>cmorris@pitman.k12.nj.us</t>
  </si>
  <si>
    <t>138 East Holly Avenue</t>
  </si>
  <si>
    <t>Pitman Jr./Sr. High School</t>
  </si>
  <si>
    <t>Cherie</t>
  </si>
  <si>
    <t>clombardo@pitman.k12.nj.us</t>
  </si>
  <si>
    <t>225 Linden Avenue</t>
  </si>
  <si>
    <t>Swedesboro-Woolwich School District</t>
  </si>
  <si>
    <t>General Charles G. Harker School</t>
  </si>
  <si>
    <t>Cheesman</t>
  </si>
  <si>
    <t>kcheesman@swsdk6.com</t>
  </si>
  <si>
    <t>1771 Oldmans Creek Road</t>
  </si>
  <si>
    <t>Woolwich Township</t>
  </si>
  <si>
    <t>Governor Charles C. Stratton</t>
  </si>
  <si>
    <t>Boston</t>
  </si>
  <si>
    <t>jboston@swsdk6.com</t>
  </si>
  <si>
    <t>15 Fredrick Boulevard</t>
  </si>
  <si>
    <t>Margaret C. Clifford School</t>
  </si>
  <si>
    <t>Traini</t>
  </si>
  <si>
    <t>jtraini@swsdk6.com</t>
  </si>
  <si>
    <t>601 Auburn Avenue</t>
  </si>
  <si>
    <t>Swedesboro</t>
  </si>
  <si>
    <t>Walter Hill School</t>
  </si>
  <si>
    <t>mkelly@swsdk6.com</t>
  </si>
  <si>
    <t>1815 Kings Highway</t>
  </si>
  <si>
    <t>Township of Franklin School District</t>
  </si>
  <si>
    <t>Caroline L. Reutter School</t>
  </si>
  <si>
    <t>Theodore</t>
  </si>
  <si>
    <t>Peters</t>
  </si>
  <si>
    <t>tpeters@franklintwpschools.org</t>
  </si>
  <si>
    <t>2150 DELSEA DR</t>
  </si>
  <si>
    <t>Main Road School</t>
  </si>
  <si>
    <t>Inverso</t>
  </si>
  <si>
    <t>ninverso@franklintwpschools.org</t>
  </si>
  <si>
    <t>1452 MAIN RD</t>
  </si>
  <si>
    <t>NEWFIELD</t>
  </si>
  <si>
    <t>Mary F. Janvier School</t>
  </si>
  <si>
    <t>Kobik</t>
  </si>
  <si>
    <t>hkobik@franklintwpschools.org</t>
  </si>
  <si>
    <t>1532 PENNSYLVANIA AVE</t>
  </si>
  <si>
    <t>Washington Township School District</t>
  </si>
  <si>
    <t>Bells Elementary School</t>
  </si>
  <si>
    <t>Shaun</t>
  </si>
  <si>
    <t>Giberson</t>
  </si>
  <si>
    <t>sgiberson@WTPS.ORG</t>
  </si>
  <si>
    <t>227 GREENTREE RD</t>
  </si>
  <si>
    <t>TURNERSVILLE</t>
  </si>
  <si>
    <t>Birches Elementary School</t>
  </si>
  <si>
    <t>LaRubbio</t>
  </si>
  <si>
    <t>jlarubbio@WTPS.ORG</t>
  </si>
  <si>
    <t>416 WESTMINSTER BLVD</t>
  </si>
  <si>
    <t>Bunker Hill Middle School</t>
  </si>
  <si>
    <t>mdostilio@WTPS.ORG</t>
  </si>
  <si>
    <t>372 PITMAN  DOWNER RD</t>
  </si>
  <si>
    <t>Chestnut Ridge Middle School</t>
  </si>
  <si>
    <t>Pietrowski</t>
  </si>
  <si>
    <t>tPietrowski@WTPS.ORG</t>
  </si>
  <si>
    <t>641 HURFFVILLE  CROSSKEYS RD</t>
  </si>
  <si>
    <t>Hurffville Elementary School</t>
  </si>
  <si>
    <t>nswitzer@WTPS.ORG</t>
  </si>
  <si>
    <t>200 HURFFVILLE  GRENLOCH RD</t>
  </si>
  <si>
    <t>Orchard Valley Middle School</t>
  </si>
  <si>
    <t>kberry@WTPS.ORG</t>
  </si>
  <si>
    <t>238 PITMAN  DOWNER RD</t>
  </si>
  <si>
    <t>tholmes@WTPS.ORG</t>
  </si>
  <si>
    <t>95 ALTAIR DR</t>
  </si>
  <si>
    <t>Washington Township High School</t>
  </si>
  <si>
    <t>randerson@WTPS.ORG</t>
  </si>
  <si>
    <t>519 HURFFVILLE  CROSSKEYS RD</t>
  </si>
  <si>
    <t>Wedgwood Elementary School</t>
  </si>
  <si>
    <t>Virginia</t>
  </si>
  <si>
    <t>vgrier@WTPS.ORG</t>
  </si>
  <si>
    <t>236 HURFFVILLE RD</t>
  </si>
  <si>
    <t>Whitman Elementary School</t>
  </si>
  <si>
    <t>Hopp</t>
  </si>
  <si>
    <t>jhopp@WTPS.ORG</t>
  </si>
  <si>
    <t>827 WHITMAN SCHOOL DR</t>
  </si>
  <si>
    <t>Wenonah  Boro School District</t>
  </si>
  <si>
    <t>Wenonah Elementary School</t>
  </si>
  <si>
    <t>Height</t>
  </si>
  <si>
    <t>kheight@wenonahschool.org</t>
  </si>
  <si>
    <t>200 N CLINTON AVE</t>
  </si>
  <si>
    <t>West Deptford Township School District</t>
  </si>
  <si>
    <t>WEST DEPTFORD</t>
  </si>
  <si>
    <t>West Deptford High School</t>
  </si>
  <si>
    <t>Spaventa</t>
  </si>
  <si>
    <t>mspaventa@wdeptford.k12.nj.us</t>
  </si>
  <si>
    <t>1600 OLD CROWN POINT RD</t>
  </si>
  <si>
    <t>Sanford</t>
  </si>
  <si>
    <t>West Deptford Middle School</t>
  </si>
  <si>
    <t>Morrell</t>
  </si>
  <si>
    <t>jmorrell@wdeptford.k12.nj.us</t>
  </si>
  <si>
    <t>675 GROVE RD</t>
  </si>
  <si>
    <t>Westville Boro Public School District</t>
  </si>
  <si>
    <t>Dericks</t>
  </si>
  <si>
    <t>bdericks@westvillesd.com</t>
  </si>
  <si>
    <t>101 BIRCH ST</t>
  </si>
  <si>
    <t>Woodbury City Public School District</t>
  </si>
  <si>
    <t>Woodbury</t>
  </si>
  <si>
    <t>Woodbury Jr-Sr High School</t>
  </si>
  <si>
    <t>Dwayne</t>
  </si>
  <si>
    <t>ddobbins@woodburysch.com</t>
  </si>
  <si>
    <t>25 N. Broad Street</t>
  </si>
  <si>
    <t>Bayonne School District</t>
  </si>
  <si>
    <t>Bayonne Alternative High School</t>
  </si>
  <si>
    <t>Pierson</t>
  </si>
  <si>
    <t>mpierson@bboed.org</t>
  </si>
  <si>
    <t>669 Avenue A</t>
  </si>
  <si>
    <t>Bayonne</t>
  </si>
  <si>
    <t>Bayonne High School</t>
  </si>
  <si>
    <t>Makowski</t>
  </si>
  <si>
    <t>kmakowski@bboed.org</t>
  </si>
  <si>
    <t>669 AVENUE A</t>
  </si>
  <si>
    <t>BAYONNE</t>
  </si>
  <si>
    <t>Albert</t>
  </si>
  <si>
    <t>Baccarella</t>
  </si>
  <si>
    <t>Cirillo</t>
  </si>
  <si>
    <t>East Newark School District</t>
  </si>
  <si>
    <t>East Newark Elementary School</t>
  </si>
  <si>
    <t>Rosaura</t>
  </si>
  <si>
    <t>Bagolie</t>
  </si>
  <si>
    <t>rbagolie@eastnewarkschool.org</t>
  </si>
  <si>
    <t>501  11 NORTH THIRD STREET</t>
  </si>
  <si>
    <t>E NEWARK</t>
  </si>
  <si>
    <t>Guttenberg School District</t>
  </si>
  <si>
    <t>Anna L. Klein</t>
  </si>
  <si>
    <t>Petry</t>
  </si>
  <si>
    <t>kpetry@alkschool.org</t>
  </si>
  <si>
    <t>301  69TH ST</t>
  </si>
  <si>
    <t>GUTTENBERG</t>
  </si>
  <si>
    <t>Harrison Public Schools</t>
  </si>
  <si>
    <t>Hamilton Intermediate School</t>
  </si>
  <si>
    <t>Hamlet</t>
  </si>
  <si>
    <t>Marte</t>
  </si>
  <si>
    <t>Steven.Valente@staff.harrisonschools.org</t>
  </si>
  <si>
    <t>223 HAMILTON STREET</t>
  </si>
  <si>
    <t>HARRISON</t>
  </si>
  <si>
    <t>Harrison High School</t>
  </si>
  <si>
    <t>Weber</t>
  </si>
  <si>
    <t>matthew.weber@staff.harrisonschools.org</t>
  </si>
  <si>
    <t>401 Kingsland Avenue</t>
  </si>
  <si>
    <t>Washington Middle School</t>
  </si>
  <si>
    <t>Stahl</t>
  </si>
  <si>
    <t>kevin.stahl@staff.harrisonschools.org</t>
  </si>
  <si>
    <t>One North Fifth Street</t>
  </si>
  <si>
    <t>Hoboken Public School District</t>
  </si>
  <si>
    <t>Hoboken High School</t>
  </si>
  <si>
    <t>Piccapietra</t>
  </si>
  <si>
    <t>robin.piccapietra@hoboken.k12.nj.us</t>
  </si>
  <si>
    <t>NINTH &amp; CLINTON ST</t>
  </si>
  <si>
    <t>Hoboken Middle School</t>
  </si>
  <si>
    <t>Sorafine</t>
  </si>
  <si>
    <t>ryan.sorafine@hoboken.k12.nj.usra@hoboken.k12.nj.us</t>
  </si>
  <si>
    <t>158 Fourth Street</t>
  </si>
  <si>
    <t>Joseph F Brandt Elementary School</t>
  </si>
  <si>
    <t>Bartlett</t>
  </si>
  <si>
    <t>charles.bartlett@hoboken.k12.nj.us</t>
  </si>
  <si>
    <t>215 NINTH STREET</t>
  </si>
  <si>
    <t>Thomas G. Connors Elementary School</t>
  </si>
  <si>
    <t>Juliana</t>
  </si>
  <si>
    <t>Addi</t>
  </si>
  <si>
    <t>juliana.addi@hoboken.k12.nj.us</t>
  </si>
  <si>
    <t>201 MONROE STREET</t>
  </si>
  <si>
    <t>Hudson County Schools of Technology School District</t>
  </si>
  <si>
    <t>Academy of Career and Technical Education</t>
  </si>
  <si>
    <t>Young</t>
  </si>
  <si>
    <t>kyoung@hcstonline.org</t>
  </si>
  <si>
    <t>One High Tech Way</t>
  </si>
  <si>
    <t>Secaucus</t>
  </si>
  <si>
    <t>Academy of Technology Design</t>
  </si>
  <si>
    <t>Mendolla</t>
  </si>
  <si>
    <t>bmendoll@hcstonline.org</t>
  </si>
  <si>
    <t>525 Montgomery Street</t>
  </si>
  <si>
    <t>Bayonne Academy</t>
  </si>
  <si>
    <t>rbaccarella@bboed.org</t>
  </si>
  <si>
    <t>County Prep High School</t>
  </si>
  <si>
    <t>525 MONTGOMERY STREET</t>
  </si>
  <si>
    <t>Explore Middle School</t>
  </si>
  <si>
    <t>Doria</t>
  </si>
  <si>
    <t>sdoria@hcstonline.org</t>
  </si>
  <si>
    <t>180 9th Street</t>
  </si>
  <si>
    <t>High Tech High School</t>
  </si>
  <si>
    <t>Jersey City Public Schools</t>
  </si>
  <si>
    <t>Academy I</t>
  </si>
  <si>
    <t>Fatima</t>
  </si>
  <si>
    <t>Corbin</t>
  </si>
  <si>
    <t>fcorbin@jcboe.org</t>
  </si>
  <si>
    <t>209 BERGEN AVENUE</t>
  </si>
  <si>
    <t>Garofalo</t>
  </si>
  <si>
    <t>ELIZABETH</t>
  </si>
  <si>
    <t>Dr Ronald McNair High School</t>
  </si>
  <si>
    <t>Macagnano</t>
  </si>
  <si>
    <t>tmacagnano@jcboe.org</t>
  </si>
  <si>
    <t>123 COLES  STREET</t>
  </si>
  <si>
    <t>Ezra L. Nolan School</t>
  </si>
  <si>
    <t>Asael</t>
  </si>
  <si>
    <t>Delgado</t>
  </si>
  <si>
    <t>adelgado@jcboe.org</t>
  </si>
  <si>
    <t>88 GATES AVE</t>
  </si>
  <si>
    <t>Franklin L. Williams School</t>
  </si>
  <si>
    <t>Jaimie</t>
  </si>
  <si>
    <t>Barnaskas</t>
  </si>
  <si>
    <t>jbarnaskas@jcboe.org</t>
  </si>
  <si>
    <t>222 LAIDLAW AVENUE</t>
  </si>
  <si>
    <t>Henry Snyder High School</t>
  </si>
  <si>
    <t>tsmith@jcboe.org</t>
  </si>
  <si>
    <t>239 BERGEN AVE</t>
  </si>
  <si>
    <t>Infinity Institute</t>
  </si>
  <si>
    <t>Treniere</t>
  </si>
  <si>
    <t>tdobson@jcboe.org</t>
  </si>
  <si>
    <t>193 Old Bergen Road</t>
  </si>
  <si>
    <t>Innovation High School</t>
  </si>
  <si>
    <t>Dooley</t>
  </si>
  <si>
    <t>fdooley@jcboe.org</t>
  </si>
  <si>
    <t>239 Bergen Avenue</t>
  </si>
  <si>
    <t>James F. Murray School</t>
  </si>
  <si>
    <t>Jones Laguay</t>
  </si>
  <si>
    <t>sjones@jcboe.org</t>
  </si>
  <si>
    <t>339 STEGMAN PARKWAY</t>
  </si>
  <si>
    <t>Ahmad</t>
  </si>
  <si>
    <t>James J Ferris High School</t>
  </si>
  <si>
    <t>Deneen</t>
  </si>
  <si>
    <t>Burke</t>
  </si>
  <si>
    <t>dalford@jcboe.org</t>
  </si>
  <si>
    <t>35 COLGATE ST</t>
  </si>
  <si>
    <t>Joseph H. Brensinger School</t>
  </si>
  <si>
    <t>rbrower@jcboe.org</t>
  </si>
  <si>
    <t>600 BERGEN AVE</t>
  </si>
  <si>
    <t>Liberty High School</t>
  </si>
  <si>
    <t>Grazilla</t>
  </si>
  <si>
    <t>mgrazilla@jcboe.org</t>
  </si>
  <si>
    <t>299 SIP AVENUE</t>
  </si>
  <si>
    <t>Lincoln High School</t>
  </si>
  <si>
    <t>Gadsden</t>
  </si>
  <si>
    <t>CGADSDEN@jcboe.org</t>
  </si>
  <si>
    <t>60 CRESCENT AVE</t>
  </si>
  <si>
    <t>Middle School # 4</t>
  </si>
  <si>
    <t>Stellato</t>
  </si>
  <si>
    <t>rstellato@jcboe.org</t>
  </si>
  <si>
    <t>107 BRIGHT STREET</t>
  </si>
  <si>
    <t>Regional Day School</t>
  </si>
  <si>
    <t>chenry@jcboe.org</t>
  </si>
  <si>
    <t>425 JOHNSTON AVENUE</t>
  </si>
  <si>
    <t>Terry</t>
  </si>
  <si>
    <t>William L Dickinson High School</t>
  </si>
  <si>
    <t>Gekson</t>
  </si>
  <si>
    <t>Casillas</t>
  </si>
  <si>
    <t>gcasillas@jcboe.org</t>
  </si>
  <si>
    <t>2 PALISADE AVE</t>
  </si>
  <si>
    <t>KEARNY</t>
  </si>
  <si>
    <t>Kearny High School</t>
  </si>
  <si>
    <t>Curtis</t>
  </si>
  <si>
    <t>Brack</t>
  </si>
  <si>
    <t>cbrack@kearnyschools.com</t>
  </si>
  <si>
    <t>336 DEVON ST</t>
  </si>
  <si>
    <t>Lincoln Middle School</t>
  </si>
  <si>
    <t>Hempel</t>
  </si>
  <si>
    <t>jhempel@kearnyschools.com</t>
  </si>
  <si>
    <t>121 BEECH ST</t>
  </si>
  <si>
    <t>Antonio</t>
  </si>
  <si>
    <t>North Bergen School District</t>
  </si>
  <si>
    <t>N BERGEN</t>
  </si>
  <si>
    <t>Alonso</t>
  </si>
  <si>
    <t>malonso@northbergen.k12.nj.us</t>
  </si>
  <si>
    <t>1215  83RD STREET</t>
  </si>
  <si>
    <t>NORTH BERGEN</t>
  </si>
  <si>
    <t>Nunez</t>
  </si>
  <si>
    <t>North Bergen High School</t>
  </si>
  <si>
    <t>Locricchio</t>
  </si>
  <si>
    <t>rlocricchio@northbergen.k12.nj.us</t>
  </si>
  <si>
    <t>7417 KENNEDY BLVD</t>
  </si>
  <si>
    <t>Polk Street School</t>
  </si>
  <si>
    <t>Adamarys</t>
  </si>
  <si>
    <t>Galvin</t>
  </si>
  <si>
    <t>agalvin@northbegren.k12.nj.us</t>
  </si>
  <si>
    <t>7111 Polk Street</t>
  </si>
  <si>
    <t>North Bergen</t>
  </si>
  <si>
    <t>Robert Fulton Elementary School</t>
  </si>
  <si>
    <t>Noreen Thelma</t>
  </si>
  <si>
    <t>tgarcia@northbergen.k12.nj.us</t>
  </si>
  <si>
    <t>7407 HUDSON AVE</t>
  </si>
  <si>
    <t>Secaucus School District</t>
  </si>
  <si>
    <t>Clarendon School</t>
  </si>
  <si>
    <t>Candela</t>
  </si>
  <si>
    <t>ccandela@sboe.org</t>
  </si>
  <si>
    <t>685 FIFTH ST</t>
  </si>
  <si>
    <t>SECAUCUS</t>
  </si>
  <si>
    <t>Huber Street School</t>
  </si>
  <si>
    <t>Valente</t>
  </si>
  <si>
    <t>rvalente@sboe.org</t>
  </si>
  <si>
    <t>1520 PATERSON PLANK RD</t>
  </si>
  <si>
    <t>Secaucus High School</t>
  </si>
  <si>
    <t>Viggiani</t>
  </si>
  <si>
    <t>sviggiani@sboe.org</t>
  </si>
  <si>
    <t>11 MILL RIDGE ROAD</t>
  </si>
  <si>
    <t>Secaucus Middle School</t>
  </si>
  <si>
    <t>Garzon</t>
  </si>
  <si>
    <t>dgarzone@sboe.org</t>
  </si>
  <si>
    <t>Union City School District</t>
  </si>
  <si>
    <t>Colin Powell Elementary School</t>
  </si>
  <si>
    <t>Teresita</t>
  </si>
  <si>
    <t>tediaz@ucboe.us</t>
  </si>
  <si>
    <t>1500 New York Avenue</t>
  </si>
  <si>
    <t>Union City</t>
  </si>
  <si>
    <t>Emerson Middle School</t>
  </si>
  <si>
    <t>Coccioli</t>
  </si>
  <si>
    <t>rcoccioli@ucboe.us</t>
  </si>
  <si>
    <t>318 - 18th Street</t>
  </si>
  <si>
    <t>UNION CITY</t>
  </si>
  <si>
    <t>Celebrano</t>
  </si>
  <si>
    <t>mcelebrano@ucboe.us</t>
  </si>
  <si>
    <t>3400 PALISADE AVENUE</t>
  </si>
  <si>
    <t>Jose Marti STEM Academy</t>
  </si>
  <si>
    <t>Rudy</t>
  </si>
  <si>
    <t>Baez</t>
  </si>
  <si>
    <t>rbaez@ucboe.us</t>
  </si>
  <si>
    <t>1800 SUMMIT AVE</t>
  </si>
  <si>
    <t>Sara M. Gilmore Academy</t>
  </si>
  <si>
    <t>Cowan</t>
  </si>
  <si>
    <t>mcowan@ucboe.us</t>
  </si>
  <si>
    <t>1700 Kerrigan Avenue</t>
  </si>
  <si>
    <t>rlewis@ucboe.us</t>
  </si>
  <si>
    <t>Union City High School</t>
  </si>
  <si>
    <t>2500 Kennedy Blvd</t>
  </si>
  <si>
    <t>Union Hill Middle School</t>
  </si>
  <si>
    <t>Abbato</t>
  </si>
  <si>
    <t>miabbato@ucboe.us</t>
  </si>
  <si>
    <t>3800 HUDSON AVE</t>
  </si>
  <si>
    <t>Weehawken Public School District</t>
  </si>
  <si>
    <t>WEEHAWKEN</t>
  </si>
  <si>
    <t>Theodore Roosevelt School</t>
  </si>
  <si>
    <t>Mera</t>
  </si>
  <si>
    <t>smera@weehawken.k12.nj.us</t>
  </si>
  <si>
    <t>1 LOUISA PLACE</t>
  </si>
  <si>
    <t>Weehawken High School</t>
  </si>
  <si>
    <t>Ferullo</t>
  </si>
  <si>
    <t>bferullo@weehawken.k12.nj.us</t>
  </si>
  <si>
    <t>53 LIBERTY PLACE</t>
  </si>
  <si>
    <t>West New York School District</t>
  </si>
  <si>
    <t>Albio Sires Elementary School</t>
  </si>
  <si>
    <t>Theobald-Rodriguez</t>
  </si>
  <si>
    <t>rtheobald@wnyschools.net</t>
  </si>
  <si>
    <t>6300 PALISADE AVE</t>
  </si>
  <si>
    <t>WEST NEW YORK</t>
  </si>
  <si>
    <t>Harry L Bain</t>
  </si>
  <si>
    <t>Reiman</t>
  </si>
  <si>
    <t>rreiman@wnyschools.net</t>
  </si>
  <si>
    <t>6200 BROADWAY</t>
  </si>
  <si>
    <t>Memorial High School</t>
  </si>
  <si>
    <t>Cooney</t>
  </si>
  <si>
    <t>bcooney@wnyschools.net</t>
  </si>
  <si>
    <t>5501 PARK AVE</t>
  </si>
  <si>
    <t>Public School Number Five</t>
  </si>
  <si>
    <t>Parkinson</t>
  </si>
  <si>
    <t>adparkinson@wnyschools.net</t>
  </si>
  <si>
    <t>5401 HUDSON AVE</t>
  </si>
  <si>
    <t>Public School Number One</t>
  </si>
  <si>
    <t>Cannao</t>
  </si>
  <si>
    <t>scannao@wnyschools.net</t>
  </si>
  <si>
    <t>6129 MADISON ST</t>
  </si>
  <si>
    <t>Loren</t>
  </si>
  <si>
    <t>Public School Number Three</t>
  </si>
  <si>
    <t>Mantineo</t>
  </si>
  <si>
    <t>tmantineo@wnyschools.net</t>
  </si>
  <si>
    <t>600 55TH ST</t>
  </si>
  <si>
    <t>Public School Number Two</t>
  </si>
  <si>
    <t>Calderone</t>
  </si>
  <si>
    <t>acalderone@wnyschools.net</t>
  </si>
  <si>
    <t>5200 BROADWAY</t>
  </si>
  <si>
    <t>West New York Middle School</t>
  </si>
  <si>
    <t>kejameson@wnyschools.net</t>
  </si>
  <si>
    <t>201 57TH ST</t>
  </si>
  <si>
    <t>Bethlehem Township School District</t>
  </si>
  <si>
    <t>Ethel Hoppock Middle School</t>
  </si>
  <si>
    <t>Abato</t>
  </si>
  <si>
    <t>eabato@btschools.org</t>
  </si>
  <si>
    <t>280 ASBURY  WEST PORTAL RD</t>
  </si>
  <si>
    <t>ASBURY</t>
  </si>
  <si>
    <t>CALIFON</t>
  </si>
  <si>
    <t>Clinton Township School District</t>
  </si>
  <si>
    <t>Clinton Township Middle School</t>
  </si>
  <si>
    <t>lmason@ctsdnj.org</t>
  </si>
  <si>
    <t>34 GRAYROCK ROAD</t>
  </si>
  <si>
    <t>CLINTON</t>
  </si>
  <si>
    <t>Patrick McGaheran</t>
  </si>
  <si>
    <t>Goad</t>
  </si>
  <si>
    <t>mgoad@ctsdnj.org</t>
  </si>
  <si>
    <t>63  ALLERTON ROAD</t>
  </si>
  <si>
    <t>LEBANON</t>
  </si>
  <si>
    <t>Round Valley</t>
  </si>
  <si>
    <t>Postma</t>
  </si>
  <si>
    <t>mpostma@ctsdnj.org</t>
  </si>
  <si>
    <t>128  COKESBURY RD</t>
  </si>
  <si>
    <t>Seth</t>
  </si>
  <si>
    <t>Delaware Valley Regional High School District</t>
  </si>
  <si>
    <t>Delaware Valley Regional High School</t>
  </si>
  <si>
    <t>Kays</t>
  </si>
  <si>
    <t>michaelkays@dvrhs.k12.nj.us</t>
  </si>
  <si>
    <t>19 Senator Stout Rd</t>
  </si>
  <si>
    <t>Frenchtown</t>
  </si>
  <si>
    <t>Flemington-Raritan Regional School District</t>
  </si>
  <si>
    <t>FLEMINGTON</t>
  </si>
  <si>
    <t>J.P. Case Middle School</t>
  </si>
  <si>
    <t>Castellano</t>
  </si>
  <si>
    <t>Robert.Castellano@frsd.us</t>
  </si>
  <si>
    <t>301 CASE BOULEVARD</t>
  </si>
  <si>
    <t>Reading-Fleming Intermediate School</t>
  </si>
  <si>
    <t>DeMarco</t>
  </si>
  <si>
    <t>anthony.demarco@frsd.us</t>
  </si>
  <si>
    <t>50 COURT STREET</t>
  </si>
  <si>
    <t>Albanese</t>
  </si>
  <si>
    <t>HAMPTON</t>
  </si>
  <si>
    <t>High Bridge Borough School District</t>
  </si>
  <si>
    <t>HIGH BRIDGE</t>
  </si>
  <si>
    <t>High Bridge Middle School</t>
  </si>
  <si>
    <t>Kolton</t>
  </si>
  <si>
    <t>koltonr@hbschools.org</t>
  </si>
  <si>
    <t>50 THOMAS ST</t>
  </si>
  <si>
    <t>Hunterdon Central Regional High School District</t>
  </si>
  <si>
    <t>Brandt</t>
  </si>
  <si>
    <t>ebrandt@hcrhs.org</t>
  </si>
  <si>
    <t>84 Route 31</t>
  </si>
  <si>
    <t>Flemington</t>
  </si>
  <si>
    <t>Hunterdon County Vocational School District</t>
  </si>
  <si>
    <t>Hunterdon County Academies</t>
  </si>
  <si>
    <t>Todd</t>
  </si>
  <si>
    <t>Bonsall</t>
  </si>
  <si>
    <t>tbonsall@hcvsd.org</t>
  </si>
  <si>
    <t>1445 State Route 31</t>
  </si>
  <si>
    <t>Annandale</t>
  </si>
  <si>
    <t>8 Bartles Corner Road</t>
  </si>
  <si>
    <t>Hunterdon County Vocational School District Central Campus</t>
  </si>
  <si>
    <t>10 Junction Rd</t>
  </si>
  <si>
    <t>Hunterdon Polytech Bartles Corner Campus</t>
  </si>
  <si>
    <t>Lebanon Township School District</t>
  </si>
  <si>
    <t>Valley View School</t>
  </si>
  <si>
    <t>Abraham</t>
  </si>
  <si>
    <t>habraham@lebtwpk8.org</t>
  </si>
  <si>
    <t>400 ROUTE 513</t>
  </si>
  <si>
    <t>Woodglen School</t>
  </si>
  <si>
    <t>pbell@lebtwpk8.org</t>
  </si>
  <si>
    <t>70 BUNNVALE ROAD</t>
  </si>
  <si>
    <t>North Hunterdon-Voorhees Regional High School District</t>
  </si>
  <si>
    <t>North Hunterdon High School</t>
  </si>
  <si>
    <t>Cottrell</t>
  </si>
  <si>
    <t>gcottrell@nhvweb.net</t>
  </si>
  <si>
    <t>Voorhees High School</t>
  </si>
  <si>
    <t>Peterson</t>
  </si>
  <si>
    <t>rpeterson@nhvweb.net</t>
  </si>
  <si>
    <t>256 County Route 513</t>
  </si>
  <si>
    <t>Glen Gardner</t>
  </si>
  <si>
    <t>Readington Township School District</t>
  </si>
  <si>
    <t>Holland Brook School</t>
  </si>
  <si>
    <t>Moss</t>
  </si>
  <si>
    <t>jmoss@readington.k12.nj.us</t>
  </si>
  <si>
    <t>52 READINGTON ROAD</t>
  </si>
  <si>
    <t>WHITEHOUSE STATION</t>
  </si>
  <si>
    <t>Readington Middle School</t>
  </si>
  <si>
    <t>Charleston</t>
  </si>
  <si>
    <t>tcharleston@readington.k12.nj.us</t>
  </si>
  <si>
    <t>48 READINGTON RD</t>
  </si>
  <si>
    <t>480 MAIN STREET</t>
  </si>
  <si>
    <t>South Hunterdon Regional School District</t>
  </si>
  <si>
    <t>Lambertville</t>
  </si>
  <si>
    <t>South Hunterdon Regional High School</t>
  </si>
  <si>
    <t>MacKnight</t>
  </si>
  <si>
    <t>jennifer.macknight@shrsd.org</t>
  </si>
  <si>
    <t>301 Mt Airy Harbourton Rd</t>
  </si>
  <si>
    <t>Tewksbury Township School District</t>
  </si>
  <si>
    <t>Old Turnpike School</t>
  </si>
  <si>
    <t>mmitchell@tewksburyschools.org</t>
  </si>
  <si>
    <t>171 OLD TURNPIKE ROAD</t>
  </si>
  <si>
    <t>Union Township School District</t>
  </si>
  <si>
    <t>Union Township Middle School</t>
  </si>
  <si>
    <t>Foote</t>
  </si>
  <si>
    <t>kfoote@uniontwpschool.org</t>
  </si>
  <si>
    <t>165 PERRYVILLE ROAD</t>
  </si>
  <si>
    <t>Area Vocational Technical School District of Mercer County</t>
  </si>
  <si>
    <t>1085 Old Trenton Rd</t>
  </si>
  <si>
    <t>MCVS Arthur R. Sypek Center</t>
  </si>
  <si>
    <t>jwarren@mcts.edu</t>
  </si>
  <si>
    <t>129 BULL RUN ROAD</t>
  </si>
  <si>
    <t>PENNINGTON</t>
  </si>
  <si>
    <t>MCVS Assunpink Shared Time Center/Rubino</t>
  </si>
  <si>
    <t>Crisostomo</t>
  </si>
  <si>
    <t>pcrisostomo@mcts.edu</t>
  </si>
  <si>
    <t>Mercer County Technical School Culinary Arts Academy</t>
  </si>
  <si>
    <t>129 Bull Run Road</t>
  </si>
  <si>
    <t>Pennington</t>
  </si>
  <si>
    <t>Mercer County Technical School Health Sciences Academy</t>
  </si>
  <si>
    <t>1085 Old Trenton Road</t>
  </si>
  <si>
    <t>Mercer County Technical School STEM Academy</t>
  </si>
  <si>
    <t>East Windsor Regional School District</t>
  </si>
  <si>
    <t>Ethel McKnight Elementary School</t>
  </si>
  <si>
    <t>Foulks</t>
  </si>
  <si>
    <t>nfoulks@ewrsd.k12.nj.us</t>
  </si>
  <si>
    <t>58 TWIN RIVERS DR   SOUTH</t>
  </si>
  <si>
    <t>EAST WINDSOR</t>
  </si>
  <si>
    <t>Grace N. Rogers Elementary School</t>
  </si>
  <si>
    <t>Emmerson</t>
  </si>
  <si>
    <t>lemmerson@ewrsd.k12.nj.us</t>
  </si>
  <si>
    <t>380 STOCKTON ST</t>
  </si>
  <si>
    <t>HIGHTSTOWN</t>
  </si>
  <si>
    <t>Hightstown High School</t>
  </si>
  <si>
    <t>Vinson</t>
  </si>
  <si>
    <t>dvinson@ewrsd.k12.nj.us</t>
  </si>
  <si>
    <t>25 LESHIN LANE</t>
  </si>
  <si>
    <t>Melvin H. Kreps Middle School</t>
  </si>
  <si>
    <t>Felicetta</t>
  </si>
  <si>
    <t>sfelicetta@ewrsd.k12.nj.us</t>
  </si>
  <si>
    <t>5 KENT LANE</t>
  </si>
  <si>
    <t>Perry L. Drew Elementary School</t>
  </si>
  <si>
    <t>Jazmyn</t>
  </si>
  <si>
    <t>jallen@ewrsd.k12.nj.us</t>
  </si>
  <si>
    <t>70 TWIN RIVERS DRIVE NORTH</t>
  </si>
  <si>
    <t>Walter C. Black Elementary School</t>
  </si>
  <si>
    <t>Gladkowski</t>
  </si>
  <si>
    <t>hgladkowski@ewrsd.k12.nj.us</t>
  </si>
  <si>
    <t>371 STOCKTON STREET</t>
  </si>
  <si>
    <t>Ewing Township School District</t>
  </si>
  <si>
    <t>Ewing High School</t>
  </si>
  <si>
    <t>Sabo</t>
  </si>
  <si>
    <t>lsabo@ewingboe.org</t>
  </si>
  <si>
    <t>900 PARKWAY AVE</t>
  </si>
  <si>
    <t>EWING</t>
  </si>
  <si>
    <t>Francis Lore Elementary School</t>
  </si>
  <si>
    <t>Kawalek</t>
  </si>
  <si>
    <t>kkawalek@ewingboe.org</t>
  </si>
  <si>
    <t>13 WESTWOOD DRIVE</t>
  </si>
  <si>
    <t>Gilmore J Fisher Middle School</t>
  </si>
  <si>
    <t>Maggy</t>
  </si>
  <si>
    <t>Hanna</t>
  </si>
  <si>
    <t>mhanna@ewingboe.org</t>
  </si>
  <si>
    <t>1325 LOWER FERRY ROAD</t>
  </si>
  <si>
    <t>Hamilton Township Public School District</t>
  </si>
  <si>
    <t>Albert E Grice Middle School</t>
  </si>
  <si>
    <t>dwalker@htsdnj.org</t>
  </si>
  <si>
    <t>901 WHITEHORSE HAMILTON SQ</t>
  </si>
  <si>
    <t>HAMILTON</t>
  </si>
  <si>
    <t>Alexander Elementary School</t>
  </si>
  <si>
    <t>Bookholdt</t>
  </si>
  <si>
    <t>jbookholdt@htsdnj.org</t>
  </si>
  <si>
    <t>20 ROBERT FROST DRIVE</t>
  </si>
  <si>
    <t>Emily C. Reynolds Middle School</t>
  </si>
  <si>
    <t>Landolfi-Collins</t>
  </si>
  <si>
    <t>pcollins@htsdnj.org</t>
  </si>
  <si>
    <t>2145 YARDVILLE HAMILTON SQ</t>
  </si>
  <si>
    <t>George E. Wilson Elementary School</t>
  </si>
  <si>
    <t>Dereth</t>
  </si>
  <si>
    <t>Sanchez-Ahmed</t>
  </si>
  <si>
    <t>dsanchez-ahmed@htsdnj.org</t>
  </si>
  <si>
    <t>600 Park Avenue</t>
  </si>
  <si>
    <t>Greenwood Elementary School</t>
  </si>
  <si>
    <t>Dickens-Simon</t>
  </si>
  <si>
    <t>ndickens-simon@htsdnj.org</t>
  </si>
  <si>
    <t>2069 GREENWOOD AVENUE</t>
  </si>
  <si>
    <t>Hamilton East - Steinert</t>
  </si>
  <si>
    <t>Bryan</t>
  </si>
  <si>
    <t>brogers@htsdnj.org</t>
  </si>
  <si>
    <t>2900 KLOCKNER ROAD</t>
  </si>
  <si>
    <t>Hamilton North - Nottingham</t>
  </si>
  <si>
    <t>Ragazzo</t>
  </si>
  <si>
    <t>fragazzo@htsdnj.org</t>
  </si>
  <si>
    <t>1055 KLOCKNER ROAD</t>
  </si>
  <si>
    <t>Hamilton West-Watson</t>
  </si>
  <si>
    <t>bsmith@htsdnj.org</t>
  </si>
  <si>
    <t>2720 SOUTH CLINTON AVENUE</t>
  </si>
  <si>
    <t>Kisthardt Elementary School</t>
  </si>
  <si>
    <t>Southard</t>
  </si>
  <si>
    <t>psouthard@htsdnj.org</t>
  </si>
  <si>
    <t>215 HARCOURT DRIVE</t>
  </si>
  <si>
    <t>Klockner Elementary School</t>
  </si>
  <si>
    <t>Rashaan</t>
  </si>
  <si>
    <t>Monroe</t>
  </si>
  <si>
    <t>rmonroe@htsdnj.org</t>
  </si>
  <si>
    <t>830 KLOCKNER AVENUE</t>
  </si>
  <si>
    <t>Kuser Elementary School</t>
  </si>
  <si>
    <t>Nydia</t>
  </si>
  <si>
    <t>Peake</t>
  </si>
  <si>
    <t>npeake@htsdnj.org</t>
  </si>
  <si>
    <t>70 NEWKIRK AVENUE</t>
  </si>
  <si>
    <t>Lalor Elementary School</t>
  </si>
  <si>
    <t>Marinello</t>
  </si>
  <si>
    <t>jmarinello@htsdnj.org</t>
  </si>
  <si>
    <t>25 BARNT DEKLYN ROAD</t>
  </si>
  <si>
    <t>Langtree Elementary School</t>
  </si>
  <si>
    <t>jgallo@htsdnj.org</t>
  </si>
  <si>
    <t>2080 WHATLEY ROAD</t>
  </si>
  <si>
    <t>McGalliard Elementary School</t>
  </si>
  <si>
    <t>Morales</t>
  </si>
  <si>
    <t>bmorales@htsdnj.org</t>
  </si>
  <si>
    <t>1600 ARENA DRIVE</t>
  </si>
  <si>
    <t>Mercerville Elementary School</t>
  </si>
  <si>
    <t>jbyrne@htsdnj.org</t>
  </si>
  <si>
    <t>60 REGINA AVENUE</t>
  </si>
  <si>
    <t>Morgan Elementary School</t>
  </si>
  <si>
    <t>Giambelluca</t>
  </si>
  <si>
    <t>mgiambelluca@htsdnj.org</t>
  </si>
  <si>
    <t>38 STAMFORD ROAD</t>
  </si>
  <si>
    <t>Richard C Crockett Middle School</t>
  </si>
  <si>
    <t>Finacchio</t>
  </si>
  <si>
    <t>mfinacchio@htsdnj.org</t>
  </si>
  <si>
    <t>2631 KUSER ROAD</t>
  </si>
  <si>
    <t>Robinson Elementary School</t>
  </si>
  <si>
    <t>Mallon</t>
  </si>
  <si>
    <t>kmallon@htsdnj.org</t>
  </si>
  <si>
    <t>495 GROPP AVENUE</t>
  </si>
  <si>
    <t>Sayen Elementary School</t>
  </si>
  <si>
    <t>Vasil</t>
  </si>
  <si>
    <t>dvasil@htsdnj.org</t>
  </si>
  <si>
    <t>3333 NOTTINGHAM WAY</t>
  </si>
  <si>
    <t>Sunnybrae Elementary School</t>
  </si>
  <si>
    <t>Roberto</t>
  </si>
  <si>
    <t>Kesting</t>
  </si>
  <si>
    <t>rkesting@htsdnj.org</t>
  </si>
  <si>
    <t>166 ELTON AVENUE</t>
  </si>
  <si>
    <t>Yardville Heights Elementary School</t>
  </si>
  <si>
    <t>Ivanisik</t>
  </si>
  <si>
    <t>jsterenczak@htsdnj.org</t>
  </si>
  <si>
    <t>3880 SOUTH BROAD STREET</t>
  </si>
  <si>
    <t>Hopewell Valley Regional School District</t>
  </si>
  <si>
    <t>Hopewell Valley Central High School</t>
  </si>
  <si>
    <t>Riley</t>
  </si>
  <si>
    <t>patriciariley@hvrsd.org</t>
  </si>
  <si>
    <t>259 PENNINGTON TITUSVILLE RD</t>
  </si>
  <si>
    <t>Stony Brook Elementary School</t>
  </si>
  <si>
    <t>Gianfredi</t>
  </si>
  <si>
    <t>nicolegianfredi@hvrsd.org</t>
  </si>
  <si>
    <t>20 STEPHENSON ROAD</t>
  </si>
  <si>
    <t>Timberlane Middle School</t>
  </si>
  <si>
    <t>christopherturnbull@hvrsd.org</t>
  </si>
  <si>
    <t>51 S  TIMBERLANE DRIVE</t>
  </si>
  <si>
    <t>Toll Gate Grammar School</t>
  </si>
  <si>
    <t>Lauri</t>
  </si>
  <si>
    <t>melissalauri@hvrsd.org</t>
  </si>
  <si>
    <t>275 SO  MAIN STREET</t>
  </si>
  <si>
    <t>Lawrence Township Public School District</t>
  </si>
  <si>
    <t>Geoffrey</t>
  </si>
  <si>
    <t>LAWRENCEVILLE</t>
  </si>
  <si>
    <t>Lawrence Intermediate School</t>
  </si>
  <si>
    <t>Alyson</t>
  </si>
  <si>
    <t>Fischer</t>
  </si>
  <si>
    <t>afischer@ltps.org</t>
  </si>
  <si>
    <t>66 EGGERTS CROSSING ROAD</t>
  </si>
  <si>
    <t>Lawrence Middle School</t>
  </si>
  <si>
    <t>Milavsky</t>
  </si>
  <si>
    <t>mmilavsky@ltps.org</t>
  </si>
  <si>
    <t>2455 PRINCETON PIKE</t>
  </si>
  <si>
    <t>Ebony</t>
  </si>
  <si>
    <t>Marie H. Katzenbach School for the Deaf</t>
  </si>
  <si>
    <t>Marie H Katzenbach Elementary School for the Deaf</t>
  </si>
  <si>
    <t>Caseiro</t>
  </si>
  <si>
    <t>jody.caseiro@mksd.org</t>
  </si>
  <si>
    <t>320 Sullivan Way</t>
  </si>
  <si>
    <t>Marie H Katzenbach Middle/High School</t>
  </si>
  <si>
    <t>Keltgen</t>
  </si>
  <si>
    <t>susan.keltgen@mksd.org</t>
  </si>
  <si>
    <t>Mercer County Special Services School District</t>
  </si>
  <si>
    <t>Cathy</t>
  </si>
  <si>
    <t>Mercer Elementary School</t>
  </si>
  <si>
    <t>Lascar</t>
  </si>
  <si>
    <t>tlascar@mcsssd.us</t>
  </si>
  <si>
    <t>1020 Old Trenton Road</t>
  </si>
  <si>
    <t>Mercer High School</t>
  </si>
  <si>
    <t>Kozakowski</t>
  </si>
  <si>
    <t>bkozakowski@mcsssd.us</t>
  </si>
  <si>
    <t>1030 Old Trenton Road</t>
  </si>
  <si>
    <t>Princeton Public School District</t>
  </si>
  <si>
    <t>Cameron</t>
  </si>
  <si>
    <t>Littlebrook School</t>
  </si>
  <si>
    <t>luisramirez@princetonk12.org</t>
  </si>
  <si>
    <t>39 MAGNOLIA LANE</t>
  </si>
  <si>
    <t>Princeton High School</t>
  </si>
  <si>
    <t>Birge</t>
  </si>
  <si>
    <t>ceciliabirge@princetonk12.org</t>
  </si>
  <si>
    <t>151 MOORE STREET</t>
  </si>
  <si>
    <t>Princeton Middle School</t>
  </si>
  <si>
    <t>Burr</t>
  </si>
  <si>
    <t>jasonburr@princetonk12.org</t>
  </si>
  <si>
    <t>217 WALNUT LANE</t>
  </si>
  <si>
    <t>Bernal</t>
  </si>
  <si>
    <t>Riverside School</t>
  </si>
  <si>
    <t>Max</t>
  </si>
  <si>
    <t>Achtau</t>
  </si>
  <si>
    <t>maxachtau@princetonk12.org</t>
  </si>
  <si>
    <t>58 RIVERSIDE DRIVE</t>
  </si>
  <si>
    <t>Robbinsville Public School District</t>
  </si>
  <si>
    <t>ROBBINSVILLE</t>
  </si>
  <si>
    <t>Robbinsville High School</t>
  </si>
  <si>
    <t>Avery</t>
  </si>
  <si>
    <t>avery.molly@robbinsville.k12.nj.us</t>
  </si>
  <si>
    <t>155 ROBBINSVILLE EDINBURG RD</t>
  </si>
  <si>
    <t>Trenton Public School District</t>
  </si>
  <si>
    <t>Arthur J. Holland Middle School</t>
  </si>
  <si>
    <t>Updegraff-Wyatt</t>
  </si>
  <si>
    <t>mwyatt@trenton.k12.nj.us</t>
  </si>
  <si>
    <t>1001 West State St</t>
  </si>
  <si>
    <t>Battle Monument Intermediate School</t>
  </si>
  <si>
    <t>Najla</t>
  </si>
  <si>
    <t>nsolomon@trenton.k12.nj.us</t>
  </si>
  <si>
    <t>145 PENNINGTON AVENUE</t>
  </si>
  <si>
    <t>Benjamin C Gregory Elementary School</t>
  </si>
  <si>
    <t>McGill Harris</t>
  </si>
  <si>
    <t>609-777-5343</t>
  </si>
  <si>
    <t>500 RUTHERFORD AVENUE</t>
  </si>
  <si>
    <t>Cadwalader Elementary School</t>
  </si>
  <si>
    <t>Costanza</t>
  </si>
  <si>
    <t>acostanza@trenton.k12.nj.us</t>
  </si>
  <si>
    <t>501 EDGEWOOD AVENUE</t>
  </si>
  <si>
    <t>Capital City High School</t>
  </si>
  <si>
    <t>dwilliamson@trenton.k12.nj.us</t>
  </si>
  <si>
    <t>135 E. Hanover Street</t>
  </si>
  <si>
    <t>Carroll Robbins Elementary School</t>
  </si>
  <si>
    <t>Zebbie</t>
  </si>
  <si>
    <t>zbelton@trenton.k12.nj.us</t>
  </si>
  <si>
    <t>283 TYLER STREET</t>
  </si>
  <si>
    <t>Clara Parker Intermediate School</t>
  </si>
  <si>
    <t>Lorcha</t>
  </si>
  <si>
    <t>llewis@trenton.k12.nj.us</t>
  </si>
  <si>
    <t>820 South Warren Street</t>
  </si>
  <si>
    <t>Darlene C. McKnight Elementary</t>
  </si>
  <si>
    <t>Elijah</t>
  </si>
  <si>
    <t>epereira@trenton.k12.nj.us</t>
  </si>
  <si>
    <t>175 GIRARD AVENUE</t>
  </si>
  <si>
    <t>Dr. Crosby Copeland Jr Elementary</t>
  </si>
  <si>
    <t>Rosenberg</t>
  </si>
  <si>
    <t>mrosenberg@trenton.k12.nj.us</t>
  </si>
  <si>
    <t>1200 BRUNSWICK AVENUE</t>
  </si>
  <si>
    <t>Dr. Martin Luther King Middle School</t>
  </si>
  <si>
    <t>Farnath</t>
  </si>
  <si>
    <t>vfarnath@trenton.k12.nj.us</t>
  </si>
  <si>
    <t>401-411 Brunswick Ave</t>
  </si>
  <si>
    <t>Bethea</t>
  </si>
  <si>
    <t>Gershom Mott Elementary School</t>
  </si>
  <si>
    <t>Wadner</t>
  </si>
  <si>
    <t>Gedeon</t>
  </si>
  <si>
    <t>wgadner@trenton.k12.nj.us</t>
  </si>
  <si>
    <t>45 STOKELY AVENUE</t>
  </si>
  <si>
    <t>Grace A Dunn Middle School</t>
  </si>
  <si>
    <t>Karilyn</t>
  </si>
  <si>
    <t>Mouzon</t>
  </si>
  <si>
    <t>kmouzon@trenton.k12.nj.us</t>
  </si>
  <si>
    <t>401 DAYTON STREET</t>
  </si>
  <si>
    <t>Grant Intermediate School</t>
  </si>
  <si>
    <t>jmsantiago@trenton.k12.nj.us</t>
  </si>
  <si>
    <t>159 N  CLINTON AVENUE</t>
  </si>
  <si>
    <t>Hedgepeth Williams Intermediate School</t>
  </si>
  <si>
    <t>ahill@trenton.k12.nj.us</t>
  </si>
  <si>
    <t>301 GLADSTONE AVE</t>
  </si>
  <si>
    <t>Joseph Stokes Elementary School</t>
  </si>
  <si>
    <t>Lakarosky</t>
  </si>
  <si>
    <t>plakarosky@trenton.k12.nj.us</t>
  </si>
  <si>
    <t>915 Parkside Avenue</t>
  </si>
  <si>
    <t>Joyce Kilmer Intermediate School</t>
  </si>
  <si>
    <t>ppbethea@trenton.k12.nj.us</t>
  </si>
  <si>
    <t>1300 Stuyvesant Avenue</t>
  </si>
  <si>
    <t>Luis Munoz-Rivera Elementary School</t>
  </si>
  <si>
    <t>orusso@trenton.k12.nj.us</t>
  </si>
  <si>
    <t>401 North Montgomery St</t>
  </si>
  <si>
    <t>Patton J. Hill Elementary School</t>
  </si>
  <si>
    <t>Talaya</t>
  </si>
  <si>
    <t>Stoddard-Wilson</t>
  </si>
  <si>
    <t>tstoddard@trenton.k12.nj.us</t>
  </si>
  <si>
    <t>1010 EAST STATE STREET</t>
  </si>
  <si>
    <t>Paul S. Robeson Elementary School</t>
  </si>
  <si>
    <t>Hodnicki</t>
  </si>
  <si>
    <t>mhodnicki@trenton.k12.nj.us</t>
  </si>
  <si>
    <t>350 Cuyler Avenue</t>
  </si>
  <si>
    <t>Thomas Jefferson Intermediate School</t>
  </si>
  <si>
    <t>Ramcharan</t>
  </si>
  <si>
    <t>nramcharan@trenton.k12.nj.us</t>
  </si>
  <si>
    <t>1 Whittlesey Road</t>
  </si>
  <si>
    <t>Trenton Central High School - Main Campus</t>
  </si>
  <si>
    <t>mcourtney@trenton.k12.nj.us</t>
  </si>
  <si>
    <t>400 Chambers Street</t>
  </si>
  <si>
    <t>Trenton Central High School-9th Grade Academy</t>
  </si>
  <si>
    <t>lmartin@trenton.k12.nj.us</t>
  </si>
  <si>
    <t>500 Perry Street</t>
  </si>
  <si>
    <t>William Harrison Elementary School</t>
  </si>
  <si>
    <t>Gaymon-Ojeikere</t>
  </si>
  <si>
    <t>kgaymon@trenton.k12.nj.us</t>
  </si>
  <si>
    <t>461 GENESSEE STREET</t>
  </si>
  <si>
    <t>West Windsor-Plainsboro Regional School District</t>
  </si>
  <si>
    <t>Community Middle School</t>
  </si>
  <si>
    <t>Schimph</t>
  </si>
  <si>
    <t>kyle.schimph@wwprsd.org</t>
  </si>
  <si>
    <t>95 GROVERS MILL ROAD</t>
  </si>
  <si>
    <t>PLAINSBORO</t>
  </si>
  <si>
    <t>Dutch Neck Elementary School</t>
  </si>
  <si>
    <t>Argese</t>
  </si>
  <si>
    <t>david.argese@wwprsd.org</t>
  </si>
  <si>
    <t>392 VILLAGE ROAD EAST</t>
  </si>
  <si>
    <t>West Windsor</t>
  </si>
  <si>
    <t>J.V.B. Wicoff Elementary School</t>
  </si>
  <si>
    <t>maureen.cook@wwprsd.org</t>
  </si>
  <si>
    <t>510 PLAINSBORO ROAD</t>
  </si>
  <si>
    <t>Ellen</t>
  </si>
  <si>
    <t>Millstone River School</t>
  </si>
  <si>
    <t>Gerard</t>
  </si>
  <si>
    <t>Dalton</t>
  </si>
  <si>
    <t>gerard.dalton@wwprsd.org</t>
  </si>
  <si>
    <t>75 GROVERS MILL ROAD</t>
  </si>
  <si>
    <t>Thomas R Grover Middle School</t>
  </si>
  <si>
    <t>Dauber</t>
  </si>
  <si>
    <t>jonathan.dauber@wwprsd.org</t>
  </si>
  <si>
    <t>10 SOUTHFIELD ROAD</t>
  </si>
  <si>
    <t>Village Elementary School</t>
  </si>
  <si>
    <t>Guy</t>
  </si>
  <si>
    <t>Tulp</t>
  </si>
  <si>
    <t>guy.tulp@wwprsd.org</t>
  </si>
  <si>
    <t>601 NEW VILLAGE ROAD</t>
  </si>
  <si>
    <t>West Windsor-Plainsboro High School North</t>
  </si>
  <si>
    <t>Lamont</t>
  </si>
  <si>
    <t>lamont.thomas@wwprsd.org</t>
  </si>
  <si>
    <t>90 GROVERS MILL ROAD</t>
  </si>
  <si>
    <t>West Windsor-Plainsboro High School South</t>
  </si>
  <si>
    <t>Cincotta</t>
  </si>
  <si>
    <t>jessica.cincotta@wwprsd.org</t>
  </si>
  <si>
    <t>346 CLARKSVILLE ROAD</t>
  </si>
  <si>
    <t>Carteret Public School District</t>
  </si>
  <si>
    <t>Carteret High School</t>
  </si>
  <si>
    <t>Joanna</t>
  </si>
  <si>
    <t>Joaquin</t>
  </si>
  <si>
    <t>jjoaquin@carteretschools.org</t>
  </si>
  <si>
    <t>199 WASHINGTON AVENUE</t>
  </si>
  <si>
    <t>CARTERET</t>
  </si>
  <si>
    <t>Carteret Junior High School</t>
  </si>
  <si>
    <t>tromero@carteretschools.org</t>
  </si>
  <si>
    <t>195 Washington Ave</t>
  </si>
  <si>
    <t>Carteret</t>
  </si>
  <si>
    <t>Carteret Middle School</t>
  </si>
  <si>
    <t>Merita</t>
  </si>
  <si>
    <t>Eull</t>
  </si>
  <si>
    <t>meull@carteretschools.org</t>
  </si>
  <si>
    <t>300 CARTERET AVENUE</t>
  </si>
  <si>
    <t>Barrett</t>
  </si>
  <si>
    <t>Dunellen Public School District</t>
  </si>
  <si>
    <t>Dunellen High School</t>
  </si>
  <si>
    <t>lynchp@dunellenschools.org</t>
  </si>
  <si>
    <t>411 First Street</t>
  </si>
  <si>
    <t>DUNELLEN</t>
  </si>
  <si>
    <t>Altmire</t>
  </si>
  <si>
    <t>altmirer@dunellenschools.org</t>
  </si>
  <si>
    <t>400  Dunellen Avenue</t>
  </si>
  <si>
    <t>East Brunswick Township School District</t>
  </si>
  <si>
    <t>EAST BRUNSWICK</t>
  </si>
  <si>
    <t>Gaskell</t>
  </si>
  <si>
    <t>mgaskell@ebnet.org</t>
  </si>
  <si>
    <t>371 CRANBURY ROAD</t>
  </si>
  <si>
    <t>Churchill Junior High School</t>
  </si>
  <si>
    <t>Hanas</t>
  </si>
  <si>
    <t>mhanas@ebnet.org</t>
  </si>
  <si>
    <t>18 NORTON ROAD</t>
  </si>
  <si>
    <t>East Brunswick High School</t>
  </si>
  <si>
    <t>Bucior</t>
  </si>
  <si>
    <t>edward.bucior@ebnet.org</t>
  </si>
  <si>
    <t>380 CRANBURY ROAD</t>
  </si>
  <si>
    <t>Hammarskjold Upper Elementary School</t>
  </si>
  <si>
    <t>Petronko</t>
  </si>
  <si>
    <t>rpetronko@ebnet.org</t>
  </si>
  <si>
    <t>200 RUES LANE</t>
  </si>
  <si>
    <t>Lawrence Brook Elementary School</t>
  </si>
  <si>
    <t>Weitzenkorn</t>
  </si>
  <si>
    <t>rweitzenkorn@ebnet.org</t>
  </si>
  <si>
    <t>48 SULLIVAN WAY</t>
  </si>
  <si>
    <t>Warnsdorfer Elementary School</t>
  </si>
  <si>
    <t>Csatari</t>
  </si>
  <si>
    <t>jcsatari@ebnet.org</t>
  </si>
  <si>
    <t>9 HARDENBURG LANE</t>
  </si>
  <si>
    <t>Edison Township School District</t>
  </si>
  <si>
    <t>EDISON</t>
  </si>
  <si>
    <t>Edison</t>
  </si>
  <si>
    <t>Edison High School</t>
  </si>
  <si>
    <t>Ross</t>
  </si>
  <si>
    <t>charles.ross@edison.k12.nj.us</t>
  </si>
  <si>
    <t>50 BOULEVARD OF THE EAGLES</t>
  </si>
  <si>
    <t>Herbert Hoover Middle School</t>
  </si>
  <si>
    <t>McGrath</t>
  </si>
  <si>
    <t>brian.mcgrath@edison.k12.nj.us</t>
  </si>
  <si>
    <t>174 JACKSON AVENUE</t>
  </si>
  <si>
    <t>James Madison Intermediate School</t>
  </si>
  <si>
    <t>Abatemarco</t>
  </si>
  <si>
    <t>donna.abatemarco@edison.k12.nj.us</t>
  </si>
  <si>
    <t>838 NEW DOVER ROAD</t>
  </si>
  <si>
    <t>James Madison Primary School</t>
  </si>
  <si>
    <t>Seiler</t>
  </si>
  <si>
    <t>michael.seiler@edison.k12.nj.us</t>
  </si>
  <si>
    <t>840 NEW DOVER ROAD</t>
  </si>
  <si>
    <t>Lia</t>
  </si>
  <si>
    <t>James Monroe Elementary School</t>
  </si>
  <si>
    <t>Tufaro</t>
  </si>
  <si>
    <t>cynthia.tufaro@edison.k12.nj.us</t>
  </si>
  <si>
    <t>7 Sharp Rd</t>
  </si>
  <si>
    <t>John Adams Middle School</t>
  </si>
  <si>
    <t>Valentine</t>
  </si>
  <si>
    <t>joan.valentine@edison.k12.nj.us</t>
  </si>
  <si>
    <t>1081 NEW DOVER ROAD</t>
  </si>
  <si>
    <t>John Marshall Elementary School</t>
  </si>
  <si>
    <t>Ami</t>
  </si>
  <si>
    <t>ami.hoffman@edison.k12.nj.us</t>
  </si>
  <si>
    <t>15 CORNELL STREET</t>
  </si>
  <si>
    <t>John P. Stevens High School</t>
  </si>
  <si>
    <t>Fay</t>
  </si>
  <si>
    <t>fay.kim@edison.k12.nj.us</t>
  </si>
  <si>
    <t>855 GROVE AVENUE</t>
  </si>
  <si>
    <t>Lindeneau Elementary School</t>
  </si>
  <si>
    <t>Platvoet</t>
  </si>
  <si>
    <t>donald.platvoet@edison.k12.nj.us</t>
  </si>
  <si>
    <t>50 BLOSSOM STREET</t>
  </si>
  <si>
    <t>Martin Luther King Elementary School</t>
  </si>
  <si>
    <t>Paparsenos</t>
  </si>
  <si>
    <t>regina.paparsenos@edison.k12.nj.us</t>
  </si>
  <si>
    <t>285 TINGLEY LANE</t>
  </si>
  <si>
    <t>Menlo Park Elementary School</t>
  </si>
  <si>
    <t>Duggan</t>
  </si>
  <si>
    <t>michael.duggan@edison.k12.nj.us</t>
  </si>
  <si>
    <t>155 MONROE AVENUE</t>
  </si>
  <si>
    <t>Antoinette</t>
  </si>
  <si>
    <t>Emden</t>
  </si>
  <si>
    <t>antoinette.emden@edison.k12.nj.us</t>
  </si>
  <si>
    <t>450 DIVISION STREET</t>
  </si>
  <si>
    <t>Woodbrook Elementary School</t>
  </si>
  <si>
    <t>nicole.cirillo@edison.k12.nj.us</t>
  </si>
  <si>
    <t>15 ROBIN ROAD</t>
  </si>
  <si>
    <t>Woodrow Wilson Middle School</t>
  </si>
  <si>
    <t>Blevins</t>
  </si>
  <si>
    <t>jennifer.blevins@edison.k12.nj.us</t>
  </si>
  <si>
    <t>50 WOODROW WILSON DRIVE</t>
  </si>
  <si>
    <t>Educational Services Commission of New Jersey</t>
  </si>
  <si>
    <t>MONROE TOWNSHIP</t>
  </si>
  <si>
    <t>PISCATAWAY</t>
  </si>
  <si>
    <t>PARLIN</t>
  </si>
  <si>
    <t>Axelrod</t>
  </si>
  <si>
    <t>Future Foundations Academy (FFA)</t>
  </si>
  <si>
    <t>Feiles</t>
  </si>
  <si>
    <t>kfeiles@escnj.us</t>
  </si>
  <si>
    <t>1690 Stelton Road</t>
  </si>
  <si>
    <t>Piscataway</t>
  </si>
  <si>
    <t>NuView Academy</t>
  </si>
  <si>
    <t>lisa.williams@escnj.us</t>
  </si>
  <si>
    <t>1 PARK AVENUE</t>
  </si>
  <si>
    <t>Piscataway Regional Day School</t>
  </si>
  <si>
    <t>Fuzy</t>
  </si>
  <si>
    <t>efuzy@escnj.us</t>
  </si>
  <si>
    <t>1670 STELTON RD</t>
  </si>
  <si>
    <t>Highland Park Boro School District</t>
  </si>
  <si>
    <t>Bartle Elementary School</t>
  </si>
  <si>
    <t>JENNIFER</t>
  </si>
  <si>
    <t>KNAPP</t>
  </si>
  <si>
    <t>JKNAPP@HPSCHOOLS.NET</t>
  </si>
  <si>
    <t>435 MANSFIELD STREET</t>
  </si>
  <si>
    <t>HIGHLAND PARK</t>
  </si>
  <si>
    <t>Highland Park High School</t>
  </si>
  <si>
    <t>KRISTINA</t>
  </si>
  <si>
    <t>DONOVAN</t>
  </si>
  <si>
    <t>KDONOVAN@HPSCHOOLS.NET</t>
  </si>
  <si>
    <t>102 NORTH FIFTH AVENUE</t>
  </si>
  <si>
    <t>Highland Park Middle School</t>
  </si>
  <si>
    <t>CAITLIN</t>
  </si>
  <si>
    <t>BRADY</t>
  </si>
  <si>
    <t>CBRADY@HPSCHOOLS.NET</t>
  </si>
  <si>
    <t>330 WAYNE STREET</t>
  </si>
  <si>
    <t>ROBERT</t>
  </si>
  <si>
    <t>Jamesburg Public School District</t>
  </si>
  <si>
    <t>Grace M. Breckwedel Middle School</t>
  </si>
  <si>
    <t>Donahue</t>
  </si>
  <si>
    <t>cdonahue@jamesburg.org</t>
  </si>
  <si>
    <t>13 AUGUSTA ST</t>
  </si>
  <si>
    <t>JAMESBURG</t>
  </si>
  <si>
    <t>Metuchen Public School District</t>
  </si>
  <si>
    <t>Campbell Elementary School</t>
  </si>
  <si>
    <t>vcostanza@metboe.k12.nj.us</t>
  </si>
  <si>
    <t>24 DURHAM AVENUE</t>
  </si>
  <si>
    <t>METUCHEN</t>
  </si>
  <si>
    <t>Edgar Middle School</t>
  </si>
  <si>
    <t>Suzy</t>
  </si>
  <si>
    <t>Azevedo</t>
  </si>
  <si>
    <t>sazevedo@metboe.k12.nj.us</t>
  </si>
  <si>
    <t>49 BRUNSWICK AVENUE</t>
  </si>
  <si>
    <t>Metuchen High School</t>
  </si>
  <si>
    <t>Porowski</t>
  </si>
  <si>
    <t>eporowski@metboe.k12.nj.us</t>
  </si>
  <si>
    <t>400 GROVE AVE</t>
  </si>
  <si>
    <t>Middlesex Borough School District</t>
  </si>
  <si>
    <t>Middlesex High School</t>
  </si>
  <si>
    <t>reganr@middlesex.k12.nj.us</t>
  </si>
  <si>
    <t>300 JOHN F. KENNEDY DRIVE</t>
  </si>
  <si>
    <t>Parker Elementary School</t>
  </si>
  <si>
    <t>Sirna</t>
  </si>
  <si>
    <t>sirnaj@middlesex.k12.nj.us</t>
  </si>
  <si>
    <t>SOUTH LINCOLN AVENUE</t>
  </si>
  <si>
    <t>Von E. Mauger Middle School</t>
  </si>
  <si>
    <t>Remi</t>
  </si>
  <si>
    <t>Christofferson</t>
  </si>
  <si>
    <t>christoffersonr@middlesex.k12.nj.us</t>
  </si>
  <si>
    <t>FISHER AVENUE</t>
  </si>
  <si>
    <t>Dudley</t>
  </si>
  <si>
    <t>dudleyk@middlesex.k12.nj.us</t>
  </si>
  <si>
    <t>Woodland Intermediate School</t>
  </si>
  <si>
    <t>Noemi</t>
  </si>
  <si>
    <t>Vazquez</t>
  </si>
  <si>
    <t>vazquezn@middlesex.k12.nj.us</t>
  </si>
  <si>
    <t>Fisher Avenue</t>
  </si>
  <si>
    <t>Middlesex</t>
  </si>
  <si>
    <t>Middlesex County Vocational and Technical School District</t>
  </si>
  <si>
    <t>East Brunswick Magnet School</t>
  </si>
  <si>
    <t>Cappiello</t>
  </si>
  <si>
    <t>cappiellom@mcmsnj.net</t>
  </si>
  <si>
    <t>112 RUES LANE</t>
  </si>
  <si>
    <t>Edison Academy Magnet School</t>
  </si>
  <si>
    <t>Mosaad</t>
  </si>
  <si>
    <t>mosaada@mcmsnj.net</t>
  </si>
  <si>
    <t>100 TECHNOLOGY DRIVE</t>
  </si>
  <si>
    <t>Goldstein</t>
  </si>
  <si>
    <t>Perth Amboy Magnet School</t>
  </si>
  <si>
    <t>Bilal</t>
  </si>
  <si>
    <t>bilalb@mcmsnj.net</t>
  </si>
  <si>
    <t>457 HIGH STREET</t>
  </si>
  <si>
    <t>PERTH AMBOY</t>
  </si>
  <si>
    <t>Piscataway Magnet School</t>
  </si>
  <si>
    <t>Slade</t>
  </si>
  <si>
    <t>sladen@mcmsnj.net</t>
  </si>
  <si>
    <t>21 SUTTONS LANE</t>
  </si>
  <si>
    <t>Woodbridge Academy Magnet School</t>
  </si>
  <si>
    <t>Fuller</t>
  </si>
  <si>
    <t>fullerr@mcmsnj.net</t>
  </si>
  <si>
    <t>1 CONVERY BOULEVARD</t>
  </si>
  <si>
    <t>WOODBRIDGE</t>
  </si>
  <si>
    <t>Milltown School District</t>
  </si>
  <si>
    <t>Veit</t>
  </si>
  <si>
    <t>wveit@milltownps.org</t>
  </si>
  <si>
    <t>21 West Church Street</t>
  </si>
  <si>
    <t>Milltown</t>
  </si>
  <si>
    <t>Monroe Township School District</t>
  </si>
  <si>
    <t>Applegarth Elementary School</t>
  </si>
  <si>
    <t>Graziano</t>
  </si>
  <si>
    <t>dawn.graziano@monroe.k12.nj.us</t>
  </si>
  <si>
    <t>227 Applegarth Rd</t>
  </si>
  <si>
    <t>Monroe Twp</t>
  </si>
  <si>
    <t>MONROE TWP</t>
  </si>
  <si>
    <t>Sidler</t>
  </si>
  <si>
    <t>scott.sidler@monroe.k12.nj.us</t>
  </si>
  <si>
    <t>370 BUCKELEW AVENUE</t>
  </si>
  <si>
    <t>Mill Lake</t>
  </si>
  <si>
    <t>Ackerman-Garcia</t>
  </si>
  <si>
    <t>pamela.ackerman-garcia@monroe.k12.nj.us</t>
  </si>
  <si>
    <t>115 MONMOUTH ROAD</t>
  </si>
  <si>
    <t>Monroe Township High School</t>
  </si>
  <si>
    <t>kevin.higgins@monroe.k12.nj.us</t>
  </si>
  <si>
    <t>200 Schoolhouse Road</t>
  </si>
  <si>
    <t>Monroe Township Middle School</t>
  </si>
  <si>
    <t>james.higgins@monroe.k12.nj.us</t>
  </si>
  <si>
    <t>1629 PERRINEVILLE ROAD</t>
  </si>
  <si>
    <t>Oak Tree Elementary School</t>
  </si>
  <si>
    <t>Dinsmore</t>
  </si>
  <si>
    <t>patricia.dinsmore@monroe.k12.nj.us</t>
  </si>
  <si>
    <t>226 APPLEGARTH ROAD</t>
  </si>
  <si>
    <t>Woodland School</t>
  </si>
  <si>
    <t>Orsolina</t>
  </si>
  <si>
    <t>Cetta</t>
  </si>
  <si>
    <t>orsolina.cetta@monroe.k12.nj.us</t>
  </si>
  <si>
    <t>42 Harrison Ave</t>
  </si>
  <si>
    <t>Monroe Township</t>
  </si>
  <si>
    <t>New Brunswick School District</t>
  </si>
  <si>
    <t>Blanquita B. Valenti Community School</t>
  </si>
  <si>
    <t>Treadway</t>
  </si>
  <si>
    <t>ellen_treadway@nbpsnj.net</t>
  </si>
  <si>
    <t>50 Jersey Ave</t>
  </si>
  <si>
    <t>New Brunswick</t>
  </si>
  <si>
    <t>Livingston Elementary School</t>
  </si>
  <si>
    <t>Hope</t>
  </si>
  <si>
    <t>Wilkins</t>
  </si>
  <si>
    <t>hope_wilkins@nbpsnj.net</t>
  </si>
  <si>
    <t>206 DELAVAN STREET</t>
  </si>
  <si>
    <t>New Brunswick Adult High School</t>
  </si>
  <si>
    <t>Timberlake</t>
  </si>
  <si>
    <t>timothy_timberlake@nbpsnj.net</t>
  </si>
  <si>
    <t>268 Baldwin street</t>
  </si>
  <si>
    <t>New Brunswick High School</t>
  </si>
  <si>
    <t>Rusnak</t>
  </si>
  <si>
    <t>matthew_rusnak@nbpsnj.net</t>
  </si>
  <si>
    <t>1000 Somerset St</t>
  </si>
  <si>
    <t>New Brunswick Middle School</t>
  </si>
  <si>
    <t>Gonzalez Lugo</t>
  </si>
  <si>
    <t>georgette_gonzalezlugo@nbpsnj.net</t>
  </si>
  <si>
    <t>1125 Livingston Avenue</t>
  </si>
  <si>
    <t>Pathways Middle School</t>
  </si>
  <si>
    <t>erica_campbell@nbpsnj.net</t>
  </si>
  <si>
    <t>40 VAN DYKE AVENUE</t>
  </si>
  <si>
    <t>Lazovick</t>
  </si>
  <si>
    <t>North Brunswick Township School District</t>
  </si>
  <si>
    <t>NORTH BRUNSWICK</t>
  </si>
  <si>
    <t>Linwood School</t>
  </si>
  <si>
    <t>Janton (J.D.)</t>
  </si>
  <si>
    <t>Shorter</t>
  </si>
  <si>
    <t>jshorter@nbtschools.org</t>
  </si>
  <si>
    <t>25 LINWOOD PLACE</t>
  </si>
  <si>
    <t>Dawson</t>
  </si>
  <si>
    <t>North Brunswick Township High School</t>
  </si>
  <si>
    <t>Kneller</t>
  </si>
  <si>
    <t>mkneller@nbtschools.org</t>
  </si>
  <si>
    <t>98 RAIDER ROAD</t>
  </si>
  <si>
    <t>North Brunswick</t>
  </si>
  <si>
    <t>North Brunswick Twp. Middle School</t>
  </si>
  <si>
    <t>Selover</t>
  </si>
  <si>
    <t>rselover@nbtschools.org</t>
  </si>
  <si>
    <t>100 Renaissance Blvd</t>
  </si>
  <si>
    <t>Old Bridge Township School District</t>
  </si>
  <si>
    <t>Alan B. Shepard Elementary School</t>
  </si>
  <si>
    <t>Marinzoli</t>
  </si>
  <si>
    <t>Joseph.Marinzoli@obps.org</t>
  </si>
  <si>
    <t>33 BUSHNELL RD</t>
  </si>
  <si>
    <t>OLD BRIDGE</t>
  </si>
  <si>
    <t>Carl Sandburg Middle School</t>
  </si>
  <si>
    <t>tdolan@obps.org</t>
  </si>
  <si>
    <t>3439 ROUTE 516</t>
  </si>
  <si>
    <t>James A. McDivitt Elementary School</t>
  </si>
  <si>
    <t>Coletti</t>
  </si>
  <si>
    <t>Laurie.Coletti@obps.org</t>
  </si>
  <si>
    <t>1 MANNY MARTIN WAY</t>
  </si>
  <si>
    <t>Jonas Salk Middle School</t>
  </si>
  <si>
    <t>Rezes</t>
  </si>
  <si>
    <t>William.Rezes@obps.org</t>
  </si>
  <si>
    <t>155 W GREYSTONE ROAD</t>
  </si>
  <si>
    <t>Leroy Gordon Cooper Elementary School</t>
  </si>
  <si>
    <t>cgramata@obps.org</t>
  </si>
  <si>
    <t>160 BIRCHWOOD DRIVE</t>
  </si>
  <si>
    <t>CLIFFWOOD BEACH</t>
  </si>
  <si>
    <t>M. Scott Carpenter Elementary School</t>
  </si>
  <si>
    <t>McCue</t>
  </si>
  <si>
    <t>cmccue@obps.org</t>
  </si>
  <si>
    <t>ONE PAR AVENUE</t>
  </si>
  <si>
    <t>Madison Park Elementary School</t>
  </si>
  <si>
    <t>john.daly@obps.org</t>
  </si>
  <si>
    <t>33 HARVARD RD</t>
  </si>
  <si>
    <t>Old Bridge High School</t>
  </si>
  <si>
    <t>Sasso</t>
  </si>
  <si>
    <t>vsasso@obps.org</t>
  </si>
  <si>
    <t>4209 ROUTE 516</t>
  </si>
  <si>
    <t>MATAWAN</t>
  </si>
  <si>
    <t>Raymond E. Voorhees Elementary School</t>
  </si>
  <si>
    <t>Ferry</t>
  </si>
  <si>
    <t>tferry@obps.org</t>
  </si>
  <si>
    <t>11 LIBERTY STREET</t>
  </si>
  <si>
    <t>Virgil I. Grissom Elementary School</t>
  </si>
  <si>
    <t>Arico</t>
  </si>
  <si>
    <t>Anthony.Arico@obps.org</t>
  </si>
  <si>
    <t>ONE SIMS AVENUE</t>
  </si>
  <si>
    <t>Walter M. Schirra Elementary School</t>
  </si>
  <si>
    <t>Lowery</t>
  </si>
  <si>
    <t>clowery@obps.org</t>
  </si>
  <si>
    <t>ONE AWN ST</t>
  </si>
  <si>
    <t>William A. Miller Elementary School</t>
  </si>
  <si>
    <t>Kimberley</t>
  </si>
  <si>
    <t>Giles</t>
  </si>
  <si>
    <t>Kimberley.Giles@obps.org</t>
  </si>
  <si>
    <t>2 OLD MATAWAN ROAD</t>
  </si>
  <si>
    <t>Perth Amboy Public School District</t>
  </si>
  <si>
    <t>Anthony V. Ceres Elementary School</t>
  </si>
  <si>
    <t>jjoseph@paps.net</t>
  </si>
  <si>
    <t>445 STATE STREET</t>
  </si>
  <si>
    <t>Dual Language School</t>
  </si>
  <si>
    <t>Postogna</t>
  </si>
  <si>
    <t>regipostogna@paps.net</t>
  </si>
  <si>
    <t>630 Amboy Avenue</t>
  </si>
  <si>
    <t>Fords</t>
  </si>
  <si>
    <t>Edward J. Patten Elementary School</t>
  </si>
  <si>
    <t>Marrocco</t>
  </si>
  <si>
    <t>laurmarrocco@paps.net</t>
  </si>
  <si>
    <t>500 CHARLES STREET</t>
  </si>
  <si>
    <t>Herbert N. Richardson 21st Century School</t>
  </si>
  <si>
    <t>Mascenik</t>
  </si>
  <si>
    <t>ronamascenik@paps.net</t>
  </si>
  <si>
    <t>318 STOCKTON STREET</t>
  </si>
  <si>
    <t>James J. Flynn Elementary School</t>
  </si>
  <si>
    <t>Neu</t>
  </si>
  <si>
    <t>jneu@paps.net</t>
  </si>
  <si>
    <t>850 CHAMBERLAIN AVENUE</t>
  </si>
  <si>
    <t>Perth Amboy High School</t>
  </si>
  <si>
    <t>Keith Guarino</t>
  </si>
  <si>
    <t>Espana</t>
  </si>
  <si>
    <t>mespana@paps.net</t>
  </si>
  <si>
    <t>931 Convery Blvd</t>
  </si>
  <si>
    <t>Robert N. Wilentz Elementary School</t>
  </si>
  <si>
    <t>robycarrera@paps.net</t>
  </si>
  <si>
    <t>51 FIRST STREET</t>
  </si>
  <si>
    <t>Rose M. Lopez Elementary School</t>
  </si>
  <si>
    <t>Nieves</t>
  </si>
  <si>
    <t>edwinieves@paps.net</t>
  </si>
  <si>
    <t>435 Seaman Avenue</t>
  </si>
  <si>
    <t>Samuel E. Shull Middle School</t>
  </si>
  <si>
    <t>Derrick</t>
  </si>
  <si>
    <t>Kyriacou</t>
  </si>
  <si>
    <t>derrkyriacou@paps.net</t>
  </si>
  <si>
    <t>380 HALL AVENUE</t>
  </si>
  <si>
    <t>William C. McGinnis Middle School</t>
  </si>
  <si>
    <t>Loniewski</t>
  </si>
  <si>
    <t>daviloniewski@paps.net</t>
  </si>
  <si>
    <t>271 STATE STREET</t>
  </si>
  <si>
    <t>Piscataway Township School District</t>
  </si>
  <si>
    <t>Arbor Elementary School</t>
  </si>
  <si>
    <t>ODonnell</t>
  </si>
  <si>
    <t>hodonnell@pway.org</t>
  </si>
  <si>
    <t>1717 LESTER PLACE</t>
  </si>
  <si>
    <t>Conackamack Middle School</t>
  </si>
  <si>
    <t>Ritchie</t>
  </si>
  <si>
    <t>mritchie@pway.org</t>
  </si>
  <si>
    <t>5205 WITHERSPOON STREET</t>
  </si>
  <si>
    <t>Dwight D. Eisenhower Elementary School</t>
  </si>
  <si>
    <t>Stio</t>
  </si>
  <si>
    <t>vstio@pway.org</t>
  </si>
  <si>
    <t>360 STELTON ROAD</t>
  </si>
  <si>
    <t>Papenberg</t>
  </si>
  <si>
    <t>apapenberg@pway.org</t>
  </si>
  <si>
    <t>130 NORTH RANDOLPHVILLE RD</t>
  </si>
  <si>
    <t>Knollwood Elementary School</t>
  </si>
  <si>
    <t>Voigt</t>
  </si>
  <si>
    <t>bvoigt@pway.org</t>
  </si>
  <si>
    <t>333 WILLOW AVENUE</t>
  </si>
  <si>
    <t>Kehoe</t>
  </si>
  <si>
    <t>akehoe@pway.org</t>
  </si>
  <si>
    <t>5205 LUDLOW STREET</t>
  </si>
  <si>
    <t>Piscataway Township High School</t>
  </si>
  <si>
    <t>Baldassano</t>
  </si>
  <si>
    <t>cbaldassano@pway.org</t>
  </si>
  <si>
    <t>100 BEHMER ROAD</t>
  </si>
  <si>
    <t>Harry</t>
  </si>
  <si>
    <t>Quibbletown Middle School</t>
  </si>
  <si>
    <t>wgonzalez@pway.org</t>
  </si>
  <si>
    <t>99 ACADEMY STREET</t>
  </si>
  <si>
    <t>Randolphville Elementary School</t>
  </si>
  <si>
    <t>Avi</t>
  </si>
  <si>
    <t>Slivko</t>
  </si>
  <si>
    <t>aslivko@pway.org</t>
  </si>
  <si>
    <t>ONE SUTTIE AVENUE</t>
  </si>
  <si>
    <t>Theodore Schor Middle School</t>
  </si>
  <si>
    <t>lparker@pway.org</t>
  </si>
  <si>
    <t>243 NORTH RANDOLPHVILLE RD</t>
  </si>
  <si>
    <t>Sayreville School District</t>
  </si>
  <si>
    <t>Rubino</t>
  </si>
  <si>
    <t>dale.rubino@sayrevillek12.net</t>
  </si>
  <si>
    <t>601 ERNSTON ROAD</t>
  </si>
  <si>
    <t>Emma Arleth Elementary School</t>
  </si>
  <si>
    <t>Preston</t>
  </si>
  <si>
    <t>robert.preston@sayrevillek12.net</t>
  </si>
  <si>
    <t>3198 WASHINGTON ROAD</t>
  </si>
  <si>
    <t>Harry S. Truman Elementary School</t>
  </si>
  <si>
    <t>Stueber</t>
  </si>
  <si>
    <t>Amy.Stueber@sayrevillek12.net</t>
  </si>
  <si>
    <t>ONE TAFT PLACE</t>
  </si>
  <si>
    <t>Samsel Upper Elementary School</t>
  </si>
  <si>
    <t>Coglianese</t>
  </si>
  <si>
    <t>stacey.coglianese@sayrevillek12.net</t>
  </si>
  <si>
    <t>298 ERNSTON ROAD</t>
  </si>
  <si>
    <t>Sayreville Middle School</t>
  </si>
  <si>
    <t>Nurnberger</t>
  </si>
  <si>
    <t>scott.nurnberger@sayrevillek12.net</t>
  </si>
  <si>
    <t>800 WASHINGTON ROAD</t>
  </si>
  <si>
    <t>Sayreville War Memorial High School</t>
  </si>
  <si>
    <t>Gluchowski</t>
  </si>
  <si>
    <t>richard.gluchowski@sayrevillek12.net</t>
  </si>
  <si>
    <t>820 WASHINGTON ROAD</t>
  </si>
  <si>
    <t>South Amboy School District</t>
  </si>
  <si>
    <t>SOUTH AMBOY</t>
  </si>
  <si>
    <t>South Amboy Middle/High School</t>
  </si>
  <si>
    <t>jbrown@sapublicschools.com</t>
  </si>
  <si>
    <t>200 GOVERNOR HAROLD G  HOFFMAN</t>
  </si>
  <si>
    <t>South Brunswick School District</t>
  </si>
  <si>
    <t>Brooks Crossing Elementary School</t>
  </si>
  <si>
    <t>Maccarone</t>
  </si>
  <si>
    <t>jaime.maccarone@sbschools.org</t>
  </si>
  <si>
    <t>50 DEANS RHODE HALL ROAD</t>
  </si>
  <si>
    <t>MONMOUTH JUNCTION</t>
  </si>
  <si>
    <t>Alice</t>
  </si>
  <si>
    <t>KENDALL PARK</t>
  </si>
  <si>
    <t>Natalie</t>
  </si>
  <si>
    <t>Cambridge Elementary School</t>
  </si>
  <si>
    <t>Christi</t>
  </si>
  <si>
    <t>Christi.Pemberton@sbschools.org</t>
  </si>
  <si>
    <t>35 CAMBRIDGE ROAD</t>
  </si>
  <si>
    <t>Crossroads North Middle School</t>
  </si>
  <si>
    <t>Bynoe</t>
  </si>
  <si>
    <t>Kimberly.Bynoe@sbschools.org</t>
  </si>
  <si>
    <t>635 GEORGES ROAD</t>
  </si>
  <si>
    <t>Crossroads South Middle School</t>
  </si>
  <si>
    <t>Capes</t>
  </si>
  <si>
    <t>Bonnie.Capes@sbschools.org</t>
  </si>
  <si>
    <t>195 Major Road</t>
  </si>
  <si>
    <t>Indian Fields Elementary School</t>
  </si>
  <si>
    <t>margaret.berry@sbschools.org</t>
  </si>
  <si>
    <t>359 RIDGE ROAD</t>
  </si>
  <si>
    <t>DAYTON</t>
  </si>
  <si>
    <t>Esposito</t>
  </si>
  <si>
    <t>South Brunswick High School</t>
  </si>
  <si>
    <t>Varela</t>
  </si>
  <si>
    <t>Peter.Varela@sbschools.org</t>
  </si>
  <si>
    <t>750 RIDGE ROAD</t>
  </si>
  <si>
    <t>South Plainfield School District</t>
  </si>
  <si>
    <t>SOUTH PLAINFIELD</t>
  </si>
  <si>
    <t>McCaan</t>
  </si>
  <si>
    <t>kmccaan@spboe.org</t>
  </si>
  <si>
    <t>305 CROMWELL PLACE</t>
  </si>
  <si>
    <t>John E. Riley Elementary School</t>
  </si>
  <si>
    <t>Coughlin</t>
  </si>
  <si>
    <t>tcoughlin@spboe.org</t>
  </si>
  <si>
    <t>100 Morris Ave</t>
  </si>
  <si>
    <t>South Plainfield</t>
  </si>
  <si>
    <t>South Plainfield High School</t>
  </si>
  <si>
    <t>Foscolo</t>
  </si>
  <si>
    <t>jfoscolo@spboe.org</t>
  </si>
  <si>
    <t>200 LAKE STREET</t>
  </si>
  <si>
    <t>South Plainfield Middle School</t>
  </si>
  <si>
    <t>Shanti</t>
  </si>
  <si>
    <t>Kantha-Murray</t>
  </si>
  <si>
    <t>smurray@spboe.org</t>
  </si>
  <si>
    <t>2201 PLAINFIELD AVENUE</t>
  </si>
  <si>
    <t>South River Public School District</t>
  </si>
  <si>
    <t>SOUTH RIVER</t>
  </si>
  <si>
    <t>South River Elementary School</t>
  </si>
  <si>
    <t>Valentin</t>
  </si>
  <si>
    <t>cvalentin@srivernj.org</t>
  </si>
  <si>
    <t>81 JOHNSON PLACE</t>
  </si>
  <si>
    <t>South River High School</t>
  </si>
  <si>
    <t>Kinard</t>
  </si>
  <si>
    <t>jkinard@srivernj.org</t>
  </si>
  <si>
    <t>11 MONTGOMERY STREET</t>
  </si>
  <si>
    <t>South River Middle School</t>
  </si>
  <si>
    <t>Rizk</t>
  </si>
  <si>
    <t>trizk@srivernj.org</t>
  </si>
  <si>
    <t>3 MONTGOMERY STREET</t>
  </si>
  <si>
    <t>Spotswood Public School District</t>
  </si>
  <si>
    <t>E Raymond Appleby Elementary School</t>
  </si>
  <si>
    <t>Torchiano</t>
  </si>
  <si>
    <t>ntorchiano@spsd.us</t>
  </si>
  <si>
    <t>23 VLIET STREET</t>
  </si>
  <si>
    <t>SPOTSWOOD</t>
  </si>
  <si>
    <t>Spotswood High School</t>
  </si>
  <si>
    <t>ajablonski@spsd.us</t>
  </si>
  <si>
    <t>105 SUMMERHILL ROAD</t>
  </si>
  <si>
    <t>Spotswood Memorial Middle School</t>
  </si>
  <si>
    <t>Cugini</t>
  </si>
  <si>
    <t>dcugini@spsd.us</t>
  </si>
  <si>
    <t>115 SUMMERHILL ROAD</t>
  </si>
  <si>
    <t>Woodbridge Township School District</t>
  </si>
  <si>
    <t>Avenel Middle School</t>
  </si>
  <si>
    <t>Leusen</t>
  </si>
  <si>
    <t>thomas.leusen@woodbridge.k12.nj.us</t>
  </si>
  <si>
    <t>WOODBINE AVENUE</t>
  </si>
  <si>
    <t>AVENEL</t>
  </si>
  <si>
    <t>Avenel Street Elementary School</t>
  </si>
  <si>
    <t>Panko</t>
  </si>
  <si>
    <t>mary.panko@woodbridge.k12.nj.us</t>
  </si>
  <si>
    <t>AVENEL STREET</t>
  </si>
  <si>
    <t>Claremont Avenue Elementary School</t>
  </si>
  <si>
    <t>Joanne</t>
  </si>
  <si>
    <t>Shafer</t>
  </si>
  <si>
    <t>joanne.shafer@woodbridge.k12.nj.us</t>
  </si>
  <si>
    <t>CLAREMONT AVENUE</t>
  </si>
  <si>
    <t>COLONIA</t>
  </si>
  <si>
    <t>Colonia High School</t>
  </si>
  <si>
    <t>Chiera</t>
  </si>
  <si>
    <t>christopher.chiera@woodbridge.k12.nj.us</t>
  </si>
  <si>
    <t>EAST STREET</t>
  </si>
  <si>
    <t>Colonia Middle School</t>
  </si>
  <si>
    <t>Short</t>
  </si>
  <si>
    <t>joseph.short@woodbridge.k12.nj.us</t>
  </si>
  <si>
    <t>DELAWARE AVENUE</t>
  </si>
  <si>
    <t>Fords Middle School</t>
  </si>
  <si>
    <t>jennifer.murphy@woodbridge.k12.nj.us</t>
  </si>
  <si>
    <t>FANNING STREET</t>
  </si>
  <si>
    <t>FORDS</t>
  </si>
  <si>
    <t>Indiana Avenue Elementary School</t>
  </si>
  <si>
    <t>Wehrle</t>
  </si>
  <si>
    <t>catherine.wehrle@woodbridge.k12.nj.us</t>
  </si>
  <si>
    <t>INDIANA AVENUE</t>
  </si>
  <si>
    <t>ISELIN</t>
  </si>
  <si>
    <t>Iselin Middle School</t>
  </si>
  <si>
    <t>Cilento</t>
  </si>
  <si>
    <t>kelly.cilento@woodbridge.k12.nj.us</t>
  </si>
  <si>
    <t>900 WOODRUFF STREET</t>
  </si>
  <si>
    <t>John F. Kennedy Memorial High School</t>
  </si>
  <si>
    <t>Parry</t>
  </si>
  <si>
    <t>james.parry@woodbridge.k12.nj.us</t>
  </si>
  <si>
    <t>200 WASHINGTON AVENUE</t>
  </si>
  <si>
    <t>Lafayette Estates Elementary School</t>
  </si>
  <si>
    <t>Braunsdorf</t>
  </si>
  <si>
    <t>edward.braunsdorf@woodbridge.k12.nj.us</t>
  </si>
  <si>
    <t>FORD AVENUE</t>
  </si>
  <si>
    <t>Mawbey Street Elementary School</t>
  </si>
  <si>
    <t>Suzana</t>
  </si>
  <si>
    <t>Zeitz</t>
  </si>
  <si>
    <t>suzana.zeitz@woodbridge.k12.nj.us</t>
  </si>
  <si>
    <t>275 MAWBEY STREET</t>
  </si>
  <si>
    <t>Menlo Park Terrace Elementary School</t>
  </si>
  <si>
    <t>Truppa</t>
  </si>
  <si>
    <t>margaret.truppa@woodbridge.k12.nj.us</t>
  </si>
  <si>
    <t>19 MARYKNOLL ROAD</t>
  </si>
  <si>
    <t>Oak Ridge Heights Elementary School</t>
  </si>
  <si>
    <t>Calabrese</t>
  </si>
  <si>
    <t>laura.calabrese@woodbridge.k12.nj.us</t>
  </si>
  <si>
    <t>720 INMAN AVENUE</t>
  </si>
  <si>
    <t>Oak Tree Road Elementary School</t>
  </si>
  <si>
    <t>Osborne-Hodes</t>
  </si>
  <si>
    <t>jillmarie.osborne@woodbridge.k12.nj.us</t>
  </si>
  <si>
    <t>WILUS WAY</t>
  </si>
  <si>
    <t>Pennsylvania Avenue Elementary School</t>
  </si>
  <si>
    <t>Hugelmeyer</t>
  </si>
  <si>
    <t>robert.hugelmeyer@woodbridge.k12.nj.us</t>
  </si>
  <si>
    <t>PENNSYLVANIA AVENUE</t>
  </si>
  <si>
    <t>Port Reading Avenue Elementary School</t>
  </si>
  <si>
    <t>DeRollo</t>
  </si>
  <si>
    <t>sarah.derollo@woodbridge.k12.nj.us</t>
  </si>
  <si>
    <t>TURNER STREET</t>
  </si>
  <si>
    <t>PORT READING</t>
  </si>
  <si>
    <t>Robert Mascenik Elementary School</t>
  </si>
  <si>
    <t>Martino</t>
  </si>
  <si>
    <t>judith.martino@woodbridge.k12.nj.us</t>
  </si>
  <si>
    <t>300 BENJAMIN AVENUE</t>
  </si>
  <si>
    <t>Ross Street Elementary School</t>
  </si>
  <si>
    <t>Rotella</t>
  </si>
  <si>
    <t>warren.rotella@woodbridge.k12.nj.us</t>
  </si>
  <si>
    <t>ROSS STREET</t>
  </si>
  <si>
    <t>Woodbine Avenue Elementary School</t>
  </si>
  <si>
    <t>Zega</t>
  </si>
  <si>
    <t>robert.zega@woodbridge.k12.nj.us</t>
  </si>
  <si>
    <t>Gallagher</t>
  </si>
  <si>
    <t>Woodbridge High School</t>
  </si>
  <si>
    <t>scott.osborne@woodbridge.k12.nj.us</t>
  </si>
  <si>
    <t>25 SAMUEL LUPO PLACE</t>
  </si>
  <si>
    <t>Woodbridge Middle School</t>
  </si>
  <si>
    <t>Jamison</t>
  </si>
  <si>
    <t>jamison.panko@woodbridge.k12.nj.us</t>
  </si>
  <si>
    <t>525 BARRON AVENUE</t>
  </si>
  <si>
    <t>Asbury Park School District</t>
  </si>
  <si>
    <t>Asbury Park High School</t>
  </si>
  <si>
    <t>gerbinom@apboe.org</t>
  </si>
  <si>
    <t>1003 SUNSET AVENUE</t>
  </si>
  <si>
    <t>Bradley Elementary School</t>
  </si>
  <si>
    <t>Schulze</t>
  </si>
  <si>
    <t>schulzel@apboe.org</t>
  </si>
  <si>
    <t>1100 THIRD AVENUE</t>
  </si>
  <si>
    <t>Kenya</t>
  </si>
  <si>
    <t>Moncur</t>
  </si>
  <si>
    <t>moncurk@apboe.org</t>
  </si>
  <si>
    <t>1200 BANGS AVENUE</t>
  </si>
  <si>
    <t>Avon Boro School District</t>
  </si>
  <si>
    <t>jrusso@AVONSCHOOL.COM</t>
  </si>
  <si>
    <t>505 LINCOLN AVENUE</t>
  </si>
  <si>
    <t>AVON</t>
  </si>
  <si>
    <t>Bayshore Jointure Commission School District</t>
  </si>
  <si>
    <t>The Shore Center</t>
  </si>
  <si>
    <t>ljordan@theshorecenter.org</t>
  </si>
  <si>
    <t>100 Tornillo Way</t>
  </si>
  <si>
    <t>Brielle Boro School District</t>
  </si>
  <si>
    <t>Brielle Elementary School</t>
  </si>
  <si>
    <t>Stacie</t>
  </si>
  <si>
    <t>Poelstra</t>
  </si>
  <si>
    <t>spoelstra@brielleschool.org</t>
  </si>
  <si>
    <t>605 UNION LANE</t>
  </si>
  <si>
    <t>BRIELLE</t>
  </si>
  <si>
    <t>Colts Neck Township School District</t>
  </si>
  <si>
    <t>Cedar Drive Middle School</t>
  </si>
  <si>
    <t>Rigby</t>
  </si>
  <si>
    <t>rigby@coltsneckschools.org</t>
  </si>
  <si>
    <t>73 CEDAR DRIVE</t>
  </si>
  <si>
    <t>COLTS NECK</t>
  </si>
  <si>
    <t>Conover Road Elementary School</t>
  </si>
  <si>
    <t>Osmond</t>
  </si>
  <si>
    <t>osmond@coltsneckschools.org</t>
  </si>
  <si>
    <t>76 CONOVER ROAD</t>
  </si>
  <si>
    <t>Deal Boro School District</t>
  </si>
  <si>
    <t>Deal Elementary School</t>
  </si>
  <si>
    <t>Donato</t>
  </si>
  <si>
    <t>Saponaro</t>
  </si>
  <si>
    <t>DSaponaro@dealschool.org</t>
  </si>
  <si>
    <t>201 ROSELD AVENUE</t>
  </si>
  <si>
    <t>DEAL</t>
  </si>
  <si>
    <t>Eatontown Public School District</t>
  </si>
  <si>
    <t>EATONTOWN</t>
  </si>
  <si>
    <t>Kristoffer</t>
  </si>
  <si>
    <t>Brogna</t>
  </si>
  <si>
    <t>kbrogna@eatontown.org</t>
  </si>
  <si>
    <t>7 GRANT AVENUE</t>
  </si>
  <si>
    <t>Fair Haven School District</t>
  </si>
  <si>
    <t>Knollwood School</t>
  </si>
  <si>
    <t>romanoa@fairhaven.edu</t>
  </si>
  <si>
    <t>224 HANCE ROAD</t>
  </si>
  <si>
    <t>FAIR HAVEN</t>
  </si>
  <si>
    <t>Viola L Sickles School</t>
  </si>
  <si>
    <t>schwartzm@fairhaven.edu</t>
  </si>
  <si>
    <t>25 WILLOW STREET</t>
  </si>
  <si>
    <t>FARMINGDALE</t>
  </si>
  <si>
    <t>Freehold Borough School District</t>
  </si>
  <si>
    <t>Freehold Intermediate School</t>
  </si>
  <si>
    <t>Brovak</t>
  </si>
  <si>
    <t>johnb@freeholdboro.k12.nj.us</t>
  </si>
  <si>
    <t>280 PARK AVENUE</t>
  </si>
  <si>
    <t>FREEHOLD</t>
  </si>
  <si>
    <t>Freehold Regional High School District</t>
  </si>
  <si>
    <t>Colts Neck High School</t>
  </si>
  <si>
    <t>bdonahue@frhsd.com</t>
  </si>
  <si>
    <t>59 FIVE POINTS ROAD</t>
  </si>
  <si>
    <t>Freehold Borough High School</t>
  </si>
  <si>
    <t>Lavetta</t>
  </si>
  <si>
    <t>lross@frhsd.com</t>
  </si>
  <si>
    <t>2 Robertsville Road</t>
  </si>
  <si>
    <t>Freehold Township High School</t>
  </si>
  <si>
    <t>Scelso</t>
  </si>
  <si>
    <t>ascelso@frhsd.com</t>
  </si>
  <si>
    <t>281 Elton Adelphia Road</t>
  </si>
  <si>
    <t>FREEHOLD TWP.</t>
  </si>
  <si>
    <t>Howell High School</t>
  </si>
  <si>
    <t>jbraverman@frhsd.com</t>
  </si>
  <si>
    <t>405 SQUANKUM  YELLOWBROOK ROAD</t>
  </si>
  <si>
    <t>Manalapan High School</t>
  </si>
  <si>
    <t>Currie</t>
  </si>
  <si>
    <t>scurrie@frhsd.com</t>
  </si>
  <si>
    <t>20 CHURCH LANE</t>
  </si>
  <si>
    <t>ENGLISHTOWN</t>
  </si>
  <si>
    <t>Marlboro High School</t>
  </si>
  <si>
    <t>Bleakley</t>
  </si>
  <si>
    <t>dbleakley@frhsd.com</t>
  </si>
  <si>
    <t>95 NORTH MAIN STREET</t>
  </si>
  <si>
    <t>MARLBORO</t>
  </si>
  <si>
    <t>Freehold Township School District</t>
  </si>
  <si>
    <t>C. Richard Applegate School</t>
  </si>
  <si>
    <t>Bradley</t>
  </si>
  <si>
    <t>Millaway</t>
  </si>
  <si>
    <t>bmillaway@freeholdtwp.k12.nj.us</t>
  </si>
  <si>
    <t>47 JEANNE BRENNAN DRIVE</t>
  </si>
  <si>
    <t>Clifton T. Barkalow School</t>
  </si>
  <si>
    <t>Kuras</t>
  </si>
  <si>
    <t>akuras@freeholdtwp.k12.nj.us</t>
  </si>
  <si>
    <t>498 STILLWELLS CORNER ROAD</t>
  </si>
  <si>
    <t>Dwight D. Eisenhower School</t>
  </si>
  <si>
    <t>Gambino</t>
  </si>
  <si>
    <t>lgambino@freeholdtwp.k12.nj.us</t>
  </si>
  <si>
    <t>279 BURLINGTON ROAD</t>
  </si>
  <si>
    <t>Joseph J Catena School</t>
  </si>
  <si>
    <t>Shaw</t>
  </si>
  <si>
    <t>tshaw@freeholdtwp.k12.nj.us</t>
  </si>
  <si>
    <t>275 BURLINGTON ROAD</t>
  </si>
  <si>
    <t>Laura Donovan School</t>
  </si>
  <si>
    <t>Benbrook</t>
  </si>
  <si>
    <t>jbenbrook@freeholdtwp.k12.nj.us</t>
  </si>
  <si>
    <t>237 STONEHURST BLVD</t>
  </si>
  <si>
    <t>Marshall W. Errickson School</t>
  </si>
  <si>
    <t>Areman</t>
  </si>
  <si>
    <t>careman@freeholdtwp.k12.nj.us</t>
  </si>
  <si>
    <t>271 ELTON  ADELPHIA ROAD</t>
  </si>
  <si>
    <t>Hazlet Township Public School District</t>
  </si>
  <si>
    <t>Beers Street School</t>
  </si>
  <si>
    <t>Ian</t>
  </si>
  <si>
    <t>Collis</t>
  </si>
  <si>
    <t>icollis@hazlet.org</t>
  </si>
  <si>
    <t>610 BEERS STREET</t>
  </si>
  <si>
    <t>HAZLET</t>
  </si>
  <si>
    <t>Cove Road School</t>
  </si>
  <si>
    <t>VanPelt</t>
  </si>
  <si>
    <t>dvanpelt@hazlet.org</t>
  </si>
  <si>
    <t>8 COVE ROAD</t>
  </si>
  <si>
    <t>Hazlet Middle School</t>
  </si>
  <si>
    <t>Albrizio</t>
  </si>
  <si>
    <t>calbrizio@hazlet.org</t>
  </si>
  <si>
    <t>1639 UNION AVENUE</t>
  </si>
  <si>
    <t>Lillian Drive School</t>
  </si>
  <si>
    <t>Teri</t>
  </si>
  <si>
    <t>Cioffi</t>
  </si>
  <si>
    <t>tcioffi@hazlet.org</t>
  </si>
  <si>
    <t>28 LILLIAN DRIVE</t>
  </si>
  <si>
    <t>Middle Road School</t>
  </si>
  <si>
    <t>kegan@hazlet.org</t>
  </si>
  <si>
    <t>305 MIDDLE ROAD</t>
  </si>
  <si>
    <t>Raritan High School</t>
  </si>
  <si>
    <t>Piotrowski</t>
  </si>
  <si>
    <t>apiotrowski@hazlet.org</t>
  </si>
  <si>
    <t>419 MIDDLE ROAD</t>
  </si>
  <si>
    <t>Raritan Valley School</t>
  </si>
  <si>
    <t>Vona</t>
  </si>
  <si>
    <t>Avona@hazlet.org</t>
  </si>
  <si>
    <t>37 CRESCI BLVD</t>
  </si>
  <si>
    <t>ATLANTIC HIGHLANDS</t>
  </si>
  <si>
    <t>Holmdel Township School District</t>
  </si>
  <si>
    <t>Holmdel High School</t>
  </si>
  <si>
    <t>Herits</t>
  </si>
  <si>
    <t>mherits@holmdelschools.org</t>
  </si>
  <si>
    <t>36 CRAWFORDS CORNER ROAD</t>
  </si>
  <si>
    <t>HOLMDEL</t>
  </si>
  <si>
    <t>Indian Hill School</t>
  </si>
  <si>
    <t>lvitale@holmdelschools.org</t>
  </si>
  <si>
    <t>735 HOLMDEL ROAD</t>
  </si>
  <si>
    <t>William R. Satz School</t>
  </si>
  <si>
    <t>Chantal</t>
  </si>
  <si>
    <t>Simonelli</t>
  </si>
  <si>
    <t>csimonelli@holmdelschools.org</t>
  </si>
  <si>
    <t>24 CRAWFORDS CORNER ROAD</t>
  </si>
  <si>
    <t>Howell Township Public School District</t>
  </si>
  <si>
    <t>Aldrich Elementary School</t>
  </si>
  <si>
    <t>asmith@howell.k12.nj.us</t>
  </si>
  <si>
    <t>615 ALDRICH ROAD</t>
  </si>
  <si>
    <t>HOWELL</t>
  </si>
  <si>
    <t>Ardena Elementary School</t>
  </si>
  <si>
    <t>Mignoli</t>
  </si>
  <si>
    <t>kmignoli@howell.k12.nj.us</t>
  </si>
  <si>
    <t>355 ADELPHIA ROAD</t>
  </si>
  <si>
    <t>Edith M. Griebling Elementary School</t>
  </si>
  <si>
    <t>Dheranie</t>
  </si>
  <si>
    <t>Suarez</t>
  </si>
  <si>
    <t>dsuarez@howell.k12.nj.us</t>
  </si>
  <si>
    <t>130 HAVENS BRIDGE ROAD</t>
  </si>
  <si>
    <t>Greenville Elementary School</t>
  </si>
  <si>
    <t>Palazzolo</t>
  </si>
  <si>
    <t>dpalazzolo@howell.k12.nj.us</t>
  </si>
  <si>
    <t>210 RAMTOWN  GREENVILLE ROAD</t>
  </si>
  <si>
    <t>Jayme</t>
  </si>
  <si>
    <t>Howell Township Middle School North</t>
  </si>
  <si>
    <t>pfarley@howell.k12.nj.us</t>
  </si>
  <si>
    <t>501 SQUANKUM  YELLOWBROOK ROAD</t>
  </si>
  <si>
    <t>Amato</t>
  </si>
  <si>
    <t>Howell Township Middle School South</t>
  </si>
  <si>
    <t>Henig</t>
  </si>
  <si>
    <t>rhenig@howell.k12.nj.us</t>
  </si>
  <si>
    <t>220 Ramtown-Greenville Road</t>
  </si>
  <si>
    <t>jfiore@howell.k12.nj.us</t>
  </si>
  <si>
    <t>81 Windeler Road</t>
  </si>
  <si>
    <t>Ramtown Elementary School</t>
  </si>
  <si>
    <t>Bohrer</t>
  </si>
  <si>
    <t>abohrer@howell.k12.nj.us</t>
  </si>
  <si>
    <t>216 RAMTOWN -GREENVILLE ROAD</t>
  </si>
  <si>
    <t>Taunton Elementary School</t>
  </si>
  <si>
    <t>Napoli</t>
  </si>
  <si>
    <t>bnapoli@howell.k12.nj.us</t>
  </si>
  <si>
    <t>41 TAUNTON DRIVE</t>
  </si>
  <si>
    <t>Keansburg School District</t>
  </si>
  <si>
    <t>Joseph C. Caruso School</t>
  </si>
  <si>
    <t>McMahon</t>
  </si>
  <si>
    <t>emcmahon@keansburg.k12.nj.us</t>
  </si>
  <si>
    <t>81 Frances Place</t>
  </si>
  <si>
    <t>KEANSBURG</t>
  </si>
  <si>
    <t>Joseph R. Bolger Middle School</t>
  </si>
  <si>
    <t>LaRocca</t>
  </si>
  <si>
    <t>jlarocca@keansburg.k12.nj.us</t>
  </si>
  <si>
    <t>100 PALMER PLACE</t>
  </si>
  <si>
    <t>Keansburg High School</t>
  </si>
  <si>
    <t>Brophy</t>
  </si>
  <si>
    <t>sbrophy@keansburg.k12.nj.us</t>
  </si>
  <si>
    <t>140 PORT MONMOUTH ROAD</t>
  </si>
  <si>
    <t>Keyport School District</t>
  </si>
  <si>
    <t>Flynn</t>
  </si>
  <si>
    <t>KEYPORT</t>
  </si>
  <si>
    <t>Keyport High School</t>
  </si>
  <si>
    <t>Waters</t>
  </si>
  <si>
    <t>mwaters@kpsdschools.org</t>
  </si>
  <si>
    <t>351 BROAD STREET</t>
  </si>
  <si>
    <t>LONG BRANCH PUBLIC SCHOOL District</t>
  </si>
  <si>
    <t>A A Anastasia Elementary School</t>
  </si>
  <si>
    <t>MIchelle</t>
  </si>
  <si>
    <t>Merckx</t>
  </si>
  <si>
    <t>mmerckx@longbranch.k12.nj.us</t>
  </si>
  <si>
    <t>92 SEVENTH AVENUE</t>
  </si>
  <si>
    <t>LONG BRANCH</t>
  </si>
  <si>
    <t>George L Catrambone</t>
  </si>
  <si>
    <t>Cunneff</t>
  </si>
  <si>
    <t>jcunneff@longbranch.k12.nj.us</t>
  </si>
  <si>
    <t>240 Park Avenue</t>
  </si>
  <si>
    <t>Long Branch</t>
  </si>
  <si>
    <t>Nikolas</t>
  </si>
  <si>
    <t>Greenwood</t>
  </si>
  <si>
    <t>ngreenwood@longbranch.k12.nj.us</t>
  </si>
  <si>
    <t>201 Monmouth Avenue</t>
  </si>
  <si>
    <t>Long Branch High School</t>
  </si>
  <si>
    <t>Muscillo</t>
  </si>
  <si>
    <t>vmuscillo@longbranch.k12.nj.us</t>
  </si>
  <si>
    <t>404 Indiana Avenue</t>
  </si>
  <si>
    <t>Long Branch Middle School</t>
  </si>
  <si>
    <t>cvolpe@longbranch.k12.nj.us</t>
  </si>
  <si>
    <t>350 INDIANA AVENUE</t>
  </si>
  <si>
    <t>Stout</t>
  </si>
  <si>
    <t>Little Silver Boro School District</t>
  </si>
  <si>
    <t>Markham Place School</t>
  </si>
  <si>
    <t>apepe@littlesilverschools.org</t>
  </si>
  <si>
    <t>95 MARKHAM PLACE</t>
  </si>
  <si>
    <t>LITTLE SILVER</t>
  </si>
  <si>
    <t>Point Road School</t>
  </si>
  <si>
    <t>KATHLEEN</t>
  </si>
  <si>
    <t>STIGLIANO</t>
  </si>
  <si>
    <t>kstigliano@littlesilverschools.org</t>
  </si>
  <si>
    <t>357 LITTLE SILVER POINT ROAD</t>
  </si>
  <si>
    <t>Manalapan-Englishtown Regional School District</t>
  </si>
  <si>
    <t>Clark Mills School</t>
  </si>
  <si>
    <t>Orlando</t>
  </si>
  <si>
    <t>jorlando@mersnj.us</t>
  </si>
  <si>
    <t>34 GORDONS CORNER ROAD</t>
  </si>
  <si>
    <t>MANALAPAN</t>
  </si>
  <si>
    <t>Lafayette Mills School</t>
  </si>
  <si>
    <t>gduffy@mersnj.us</t>
  </si>
  <si>
    <t>66 MAXWELL LANE</t>
  </si>
  <si>
    <t>Manalapan</t>
  </si>
  <si>
    <t>Manalapan-Englishtown Middle School</t>
  </si>
  <si>
    <t>Fiorillo</t>
  </si>
  <si>
    <t>michaelfiorillo@mersnj.us</t>
  </si>
  <si>
    <t>155 MILLHURST ROAD</t>
  </si>
  <si>
    <t>Milford Brook School</t>
  </si>
  <si>
    <t>Tice</t>
  </si>
  <si>
    <t>mtice@mersnj.us</t>
  </si>
  <si>
    <t>20 GLOBAR  TERRACE</t>
  </si>
  <si>
    <t>Pine Brook School</t>
  </si>
  <si>
    <t>Szustowicz</t>
  </si>
  <si>
    <t>jszustowicz@mersnj.us</t>
  </si>
  <si>
    <t>155 PEASE ROAD</t>
  </si>
  <si>
    <t>Taylor Mills School</t>
  </si>
  <si>
    <t>Camuto</t>
  </si>
  <si>
    <t>lcamuto@mersnj.us</t>
  </si>
  <si>
    <t>77 GORDONS CORNER ROAD</t>
  </si>
  <si>
    <t>Wemrock Brook School</t>
  </si>
  <si>
    <t>Seery</t>
  </si>
  <si>
    <t>rseery@mersnj.us</t>
  </si>
  <si>
    <t>118 MILLHURST ROAD</t>
  </si>
  <si>
    <t>Manasquan School District</t>
  </si>
  <si>
    <t>Manasquan</t>
  </si>
  <si>
    <t>Manasquan High School</t>
  </si>
  <si>
    <t>Kukoda</t>
  </si>
  <si>
    <t>mkukoda@manasquanboe.org</t>
  </si>
  <si>
    <t>167 Broad Street</t>
  </si>
  <si>
    <t>Marlboro Township School District</t>
  </si>
  <si>
    <t>Asher Holmes Elementary School</t>
  </si>
  <si>
    <t>Cilmi</t>
  </si>
  <si>
    <t>jcilmi@mtps.org</t>
  </si>
  <si>
    <t>48 MENZEL LANE</t>
  </si>
  <si>
    <t>MORGANVILLE</t>
  </si>
  <si>
    <t>Frank Defino Central Elementary School</t>
  </si>
  <si>
    <t>Stratuik</t>
  </si>
  <si>
    <t>dstratuik@mtps.org</t>
  </si>
  <si>
    <t>175 Route 79 North</t>
  </si>
  <si>
    <t>Frank J. Dugan Elementary School</t>
  </si>
  <si>
    <t>Pagliaro</t>
  </si>
  <si>
    <t>rpagliaro@mtps.org</t>
  </si>
  <si>
    <t>48 TOPANEMUS ROAD</t>
  </si>
  <si>
    <t>Marlboro Elementary School</t>
  </si>
  <si>
    <t>Shatz</t>
  </si>
  <si>
    <t>mshatz@mtps.org</t>
  </si>
  <si>
    <t>100 SCHOOL ROAD WEST</t>
  </si>
  <si>
    <t>Marlboro Memorial Middle School</t>
  </si>
  <si>
    <t>Pacifico</t>
  </si>
  <si>
    <t>jpacifico@mtps.org</t>
  </si>
  <si>
    <t>71 NOLAN ROAD</t>
  </si>
  <si>
    <t>Marlboro Middle School</t>
  </si>
  <si>
    <t>Nieliwocki</t>
  </si>
  <si>
    <t>pnieliwocki@mtps.org</t>
  </si>
  <si>
    <t>355 COUNTY ROAD 520</t>
  </si>
  <si>
    <t>Robertsville Elementary School</t>
  </si>
  <si>
    <t>Giarratano</t>
  </si>
  <si>
    <t>agiarratano@mtps.org</t>
  </si>
  <si>
    <t>36 MENZEL LANE</t>
  </si>
  <si>
    <t>Matawan-Aberdeen Regional School District</t>
  </si>
  <si>
    <t>CLIFFWOOD</t>
  </si>
  <si>
    <t>Lloyd Road Elementary School</t>
  </si>
  <si>
    <t>Bombardier</t>
  </si>
  <si>
    <t>jbombardier@marsd.org</t>
  </si>
  <si>
    <t>401 LLOYD ROAD</t>
  </si>
  <si>
    <t>ABERDEEN</t>
  </si>
  <si>
    <t>Matawan Regional High School</t>
  </si>
  <si>
    <t>mwells@marsd.org</t>
  </si>
  <si>
    <t>450 ATLANTIC AVENUE</t>
  </si>
  <si>
    <t>Matawan-Aberdeen Middle School</t>
  </si>
  <si>
    <t>Van Horn</t>
  </si>
  <si>
    <t>mvanhorn@marsd.org</t>
  </si>
  <si>
    <t>469 MATAWAN AVENUE</t>
  </si>
  <si>
    <t>Middletown Township Public School District</t>
  </si>
  <si>
    <t>Bayshore Middle School</t>
  </si>
  <si>
    <t>curtist@middletownk12.org</t>
  </si>
  <si>
    <t>834 LEONARDVILLE ROAD</t>
  </si>
  <si>
    <t>LEONARDO</t>
  </si>
  <si>
    <t>Bayview Elementary School</t>
  </si>
  <si>
    <t>Raspanti</t>
  </si>
  <si>
    <t>raspantit@middletownk12.org</t>
  </si>
  <si>
    <t>300 LEONARDVILLE ROAD</t>
  </si>
  <si>
    <t>BELFORD</t>
  </si>
  <si>
    <t>Melando</t>
  </si>
  <si>
    <t>melandom@middletownk12.org</t>
  </si>
  <si>
    <t>230 COOPER ROAD</t>
  </si>
  <si>
    <t>Leonardo Elementary School</t>
  </si>
  <si>
    <t>smithp@middletownk12.org</t>
  </si>
  <si>
    <t>14 HOSFORD AVENUE</t>
  </si>
  <si>
    <t>Lincroft Elementary School</t>
  </si>
  <si>
    <t>Dorgan</t>
  </si>
  <si>
    <t>dorganb@middletownk12.org</t>
  </si>
  <si>
    <t>729 NEWMAN SPRINGS ROAD</t>
  </si>
  <si>
    <t>LINCROFT</t>
  </si>
  <si>
    <t>Middletown High School North</t>
  </si>
  <si>
    <t>Ferri</t>
  </si>
  <si>
    <t>ferrim@middletownk12.org</t>
  </si>
  <si>
    <t>63 TINDALL ROAD</t>
  </si>
  <si>
    <t>MIDDLETOWN</t>
  </si>
  <si>
    <t>Middletown High School South</t>
  </si>
  <si>
    <t>Olausen</t>
  </si>
  <si>
    <t>olausent@middletownk12.org</t>
  </si>
  <si>
    <t>900 NUT SWAMP ROAD</t>
  </si>
  <si>
    <t>Middletown Village Elementary School</t>
  </si>
  <si>
    <t>Whitman</t>
  </si>
  <si>
    <t>whitmand@middletownk12.org</t>
  </si>
  <si>
    <t>147 KINGS HIGHWAY</t>
  </si>
  <si>
    <t>Navesink Elementary School</t>
  </si>
  <si>
    <t>Herbert</t>
  </si>
  <si>
    <t>herbertj@middletownk12.org</t>
  </si>
  <si>
    <t>151 MONMOUTH AVENUE</t>
  </si>
  <si>
    <t>New Monmouth Elementary School</t>
  </si>
  <si>
    <t>Reginio</t>
  </si>
  <si>
    <t>reginioc@middletownk12.org</t>
  </si>
  <si>
    <t>121 NEW MONMOUTH ROAD</t>
  </si>
  <si>
    <t>Nut Swamp Elementary School</t>
  </si>
  <si>
    <t>albanesec@middletownk12.org</t>
  </si>
  <si>
    <t>925 Nut Swamp Road</t>
  </si>
  <si>
    <t>River Plaza Elementary School</t>
  </si>
  <si>
    <t>Mergner</t>
  </si>
  <si>
    <t>mergnera@middletownk12.org</t>
  </si>
  <si>
    <t>155 HUBBARD AVENUE</t>
  </si>
  <si>
    <t>Thompson Middle School</t>
  </si>
  <si>
    <t>currieb@middletownk12.org</t>
  </si>
  <si>
    <t>1001 MIDDLETOWN  LINCROFT ROAD</t>
  </si>
  <si>
    <t>Thorne Middle School</t>
  </si>
  <si>
    <t>smiths@middletownk12.org</t>
  </si>
  <si>
    <t>70 MURPHY ROAD</t>
  </si>
  <si>
    <t>PORT MONMOUTH</t>
  </si>
  <si>
    <t>Millstone Township School District</t>
  </si>
  <si>
    <t>Millstone Township Elementary School</t>
  </si>
  <si>
    <t>Amendola</t>
  </si>
  <si>
    <t>pamendola@millstone.k12.nj.us</t>
  </si>
  <si>
    <t>308 Millstone Road</t>
  </si>
  <si>
    <t>CLARKSBURG</t>
  </si>
  <si>
    <t>Millstone Township Middle School</t>
  </si>
  <si>
    <t>Giaconia</t>
  </si>
  <si>
    <t>agiaconia@millstone.k12.nj.us</t>
  </si>
  <si>
    <t>5 Dawson Court</t>
  </si>
  <si>
    <t>Millstone Township</t>
  </si>
  <si>
    <t>Monmouth County Vocational School District</t>
  </si>
  <si>
    <t>Academy of Law &amp; Public Safety</t>
  </si>
  <si>
    <t>Diver</t>
  </si>
  <si>
    <t>jdiver@ctemc.org</t>
  </si>
  <si>
    <t>255 West End Avenue</t>
  </si>
  <si>
    <t>Sauer</t>
  </si>
  <si>
    <t>Biotechnology High School</t>
  </si>
  <si>
    <t>Bryant</t>
  </si>
  <si>
    <t>sbryant@ctemc.org</t>
  </si>
  <si>
    <t>5000 KOZLOSKI ROAD</t>
  </si>
  <si>
    <t>Communications High School</t>
  </si>
  <si>
    <t>ebonilla@ctemc.org@ctemc.org</t>
  </si>
  <si>
    <t>1740 NEW BEDFORD ROAD</t>
  </si>
  <si>
    <t>WALL</t>
  </si>
  <si>
    <t>High Technology High School</t>
  </si>
  <si>
    <t>Hough</t>
  </si>
  <si>
    <t>though@ctemc.org</t>
  </si>
  <si>
    <t>765 NEWMAN SPRINGS ROAD</t>
  </si>
  <si>
    <t>Marine Academy of Science and Technology</t>
  </si>
  <si>
    <t>Earl</t>
  </si>
  <si>
    <t>emoore@ctemc.org</t>
  </si>
  <si>
    <t>305 Mast Way</t>
  </si>
  <si>
    <t>Highlands</t>
  </si>
  <si>
    <t>Monmouth County Academy of Allied Health and Science</t>
  </si>
  <si>
    <t>Mucciarone</t>
  </si>
  <si>
    <t>pmucciarone@ctemc.org</t>
  </si>
  <si>
    <t>2325 HECK AVENUE</t>
  </si>
  <si>
    <t>NEPTUNE</t>
  </si>
  <si>
    <t>Monmouth County Career Center</t>
  </si>
  <si>
    <t>Kraemer</t>
  </si>
  <si>
    <t>nkraemer@ctemc.org</t>
  </si>
  <si>
    <t>1000 KOZLOSKI ROAD</t>
  </si>
  <si>
    <t>Monmouth County Vocational Technical High School</t>
  </si>
  <si>
    <t>Lou</t>
  </si>
  <si>
    <t>Certo</t>
  </si>
  <si>
    <t>lcerto@ctemc.org</t>
  </si>
  <si>
    <t>417 Middle Rd</t>
  </si>
  <si>
    <t>Monmouth Regional High School</t>
  </si>
  <si>
    <t>bevans@monmouthregional.net</t>
  </si>
  <si>
    <t>ONE NORMAN J  FIELD WAY</t>
  </si>
  <si>
    <t>TINTON FALLS</t>
  </si>
  <si>
    <t>Monmouth-Ocean Educational Services Commission School Distri</t>
  </si>
  <si>
    <t>Regional Achievement Academy</t>
  </si>
  <si>
    <t>kmiller@moesc.org</t>
  </si>
  <si>
    <t>Emmons</t>
  </si>
  <si>
    <t>Neptune Township School District</t>
  </si>
  <si>
    <t>Neptune High School</t>
  </si>
  <si>
    <t>tdecker@neptune.k12.nj.us</t>
  </si>
  <si>
    <t>55 NEPTUNE BOULEVARD</t>
  </si>
  <si>
    <t>Neptune Middle School</t>
  </si>
  <si>
    <t>Opoku</t>
  </si>
  <si>
    <t>jopoku@neptune.k12.nj.us</t>
  </si>
  <si>
    <t>2300 HECK AVENUE</t>
  </si>
  <si>
    <t>Oceanport School District</t>
  </si>
  <si>
    <t>Maple  Place Middle School</t>
  </si>
  <si>
    <t>mkeiser@oceanportschools.org</t>
  </si>
  <si>
    <t>MAPLE PLACE</t>
  </si>
  <si>
    <t>OCEANPORT</t>
  </si>
  <si>
    <t>Red Bank Borough Public School District</t>
  </si>
  <si>
    <t>Red Bank Middle School</t>
  </si>
  <si>
    <t>piersonjt@rbb.k12.nj.us</t>
  </si>
  <si>
    <t>101 HARDING ROAD</t>
  </si>
  <si>
    <t>Fowler</t>
  </si>
  <si>
    <t>Red Bank Regional School District</t>
  </si>
  <si>
    <t>Red Bank Regional High School</t>
  </si>
  <si>
    <t>Julius</t>
  </si>
  <si>
    <t>jclark@rbrhs.org</t>
  </si>
  <si>
    <t>101 RIDGE ROAD</t>
  </si>
  <si>
    <t>Roosevelt Borough Public School District</t>
  </si>
  <si>
    <t>Roosevelt Public School</t>
  </si>
  <si>
    <t>Morrone</t>
  </si>
  <si>
    <t>gmorrone@rps1.org</t>
  </si>
  <si>
    <t>SCHOOL LANE</t>
  </si>
  <si>
    <t>ROOSEVELT</t>
  </si>
  <si>
    <t>Rumson Borough School District</t>
  </si>
  <si>
    <t>Deane-Porter Elementary School</t>
  </si>
  <si>
    <t>eoconnell@rumsonschool.org</t>
  </si>
  <si>
    <t>50 BLACKPOINT ROAD</t>
  </si>
  <si>
    <t>RUMSON</t>
  </si>
  <si>
    <t>Forrestdale School</t>
  </si>
  <si>
    <t>Gibbons</t>
  </si>
  <si>
    <t>jgibbons@rumsonschool.org</t>
  </si>
  <si>
    <t>60 FORREST AVENUE</t>
  </si>
  <si>
    <t>Rumson-Fair Haven Regional High School District</t>
  </si>
  <si>
    <t>Rumson-Fair Haven Regional High School</t>
  </si>
  <si>
    <t>Sarles</t>
  </si>
  <si>
    <t>ssarles@rumsonfairhaven.org</t>
  </si>
  <si>
    <t>74 RIDGE ROAD</t>
  </si>
  <si>
    <t>Sea Girt Borough School District</t>
  </si>
  <si>
    <t>Sea Girt Elementary School</t>
  </si>
  <si>
    <t>Rick</t>
  </si>
  <si>
    <t>Papera</t>
  </si>
  <si>
    <t>rpapera@seagirt.k12.nj.us</t>
  </si>
  <si>
    <t>451 Bell Place</t>
  </si>
  <si>
    <t>Sea Girt</t>
  </si>
  <si>
    <t>Shore Regional High School District</t>
  </si>
  <si>
    <t>Shore Regional High School</t>
  </si>
  <si>
    <t>DalliCardillo</t>
  </si>
  <si>
    <t>vdallicardillo@shoreregional.org</t>
  </si>
  <si>
    <t>132 MONMOUTH PARK HIGHWAY 36</t>
  </si>
  <si>
    <t>WEST LONG BRANCH</t>
  </si>
  <si>
    <t>Spring Lake Heights School District</t>
  </si>
  <si>
    <t>Spring Lake Heights Elementary School</t>
  </si>
  <si>
    <t>Spalthoff</t>
  </si>
  <si>
    <t>jspalthoff@slheights.org</t>
  </si>
  <si>
    <t>1110 HIGHWAY 71</t>
  </si>
  <si>
    <t>SPRING LAKE HEIGHTS</t>
  </si>
  <si>
    <t>Tinton Falls School District</t>
  </si>
  <si>
    <t>Swimming River School</t>
  </si>
  <si>
    <t>Black</t>
  </si>
  <si>
    <t>jblack@tfschools.org</t>
  </si>
  <si>
    <t>220 HANCE AVENUE</t>
  </si>
  <si>
    <t>Tinton Falls Middle School</t>
  </si>
  <si>
    <t>Howroyd</t>
  </si>
  <si>
    <t>bhowroyd@tfschools.org</t>
  </si>
  <si>
    <t>674 TINTON AVENUE</t>
  </si>
  <si>
    <t>Township of Ocean School District</t>
  </si>
  <si>
    <t>OAKHURST</t>
  </si>
  <si>
    <t>Ocean Township High School</t>
  </si>
  <si>
    <t>Kaszuba</t>
  </si>
  <si>
    <t>dkaszuba@oceanschools.org</t>
  </si>
  <si>
    <t>550 WEST PARK AVENUE</t>
  </si>
  <si>
    <t>Township of Ocean Intermediate School</t>
  </si>
  <si>
    <t>camato@oceanschools.org</t>
  </si>
  <si>
    <t>1200 WEST PARK AVENUE</t>
  </si>
  <si>
    <t>Upper Freehold Regional School District</t>
  </si>
  <si>
    <t>Allentown High School</t>
  </si>
  <si>
    <t>Pae</t>
  </si>
  <si>
    <t>Pae.todd@ufrsd.net</t>
  </si>
  <si>
    <t>27 High Street</t>
  </si>
  <si>
    <t>ALLENTOWN</t>
  </si>
  <si>
    <t>Stonebridge Middle School</t>
  </si>
  <si>
    <t>Folino</t>
  </si>
  <si>
    <t>FolinoS@ufrsd.net</t>
  </si>
  <si>
    <t>1252 Yardville-Allentown Road</t>
  </si>
  <si>
    <t>Allentown</t>
  </si>
  <si>
    <t>Wall Township Public School District</t>
  </si>
  <si>
    <t>Allenwood Elementary School</t>
  </si>
  <si>
    <t>Sterenczak</t>
  </si>
  <si>
    <t>jsterenczak@wallpublicschools.org</t>
  </si>
  <si>
    <t>3301 ALLENWOOD  LAKEWOOD RD</t>
  </si>
  <si>
    <t>Efstratios</t>
  </si>
  <si>
    <t>Monafis</t>
  </si>
  <si>
    <t>emonafis@wallpublicschools.org</t>
  </si>
  <si>
    <t>2007 ALLENWOOD ROAD</t>
  </si>
  <si>
    <t>Old Mill Elementary School</t>
  </si>
  <si>
    <t>jantoniello@wallpublicschools.org</t>
  </si>
  <si>
    <t>2119 OLD MILL ROAD</t>
  </si>
  <si>
    <t>SEA GIRT</t>
  </si>
  <si>
    <t>Wall High School</t>
  </si>
  <si>
    <t>kdavis@wallpublicschools.org</t>
  </si>
  <si>
    <t>1630 18TH AVE</t>
  </si>
  <si>
    <t>Wall Intermediate School</t>
  </si>
  <si>
    <t>Laughlin</t>
  </si>
  <si>
    <t>elaughlin@wallpublicschools.org</t>
  </si>
  <si>
    <t>2801 ALLAIRE ROAD</t>
  </si>
  <si>
    <t>Wall Primary School</t>
  </si>
  <si>
    <t>Bagarozza</t>
  </si>
  <si>
    <t>sbagarozza@wallpublicschools.org</t>
  </si>
  <si>
    <t>2500 BEDFORD CORNER LANE</t>
  </si>
  <si>
    <t>West Belmar Elementary School</t>
  </si>
  <si>
    <t>Abeal</t>
  </si>
  <si>
    <t>aabeal@wallpublicschools.org</t>
  </si>
  <si>
    <t>925 17TH AVENUE</t>
  </si>
  <si>
    <t>West Long Branch School District</t>
  </si>
  <si>
    <t>West Long Branch</t>
  </si>
  <si>
    <t>Frank Antonides School</t>
  </si>
  <si>
    <t>Jonas</t>
  </si>
  <si>
    <t>mjonas@wlbschools.com</t>
  </si>
  <si>
    <t>135 Locust Avenue</t>
  </si>
  <si>
    <t>Butler Public School District</t>
  </si>
  <si>
    <t>Aaron Decker School</t>
  </si>
  <si>
    <t>Manco</t>
  </si>
  <si>
    <t>jmanco@butlerboe.org</t>
  </si>
  <si>
    <t>98 DECKER ROAD</t>
  </si>
  <si>
    <t>BUTLER</t>
  </si>
  <si>
    <t>Butler High School</t>
  </si>
  <si>
    <t>rfitzgerald@butlerboe.org</t>
  </si>
  <si>
    <t>38 BARTHOLDI AVENUE</t>
  </si>
  <si>
    <t>Richard Butler School</t>
  </si>
  <si>
    <t>Papa</t>
  </si>
  <si>
    <t>mpapa@butlerboe.org</t>
  </si>
  <si>
    <t>30 PEARL PLACE</t>
  </si>
  <si>
    <t>Chester Township School District</t>
  </si>
  <si>
    <t>Black River Middle School</t>
  </si>
  <si>
    <t>andrew.white@chester-nj.org</t>
  </si>
  <si>
    <t>133 Rt. 513 - North Road</t>
  </si>
  <si>
    <t>Chester</t>
  </si>
  <si>
    <t>Bragg Elementary School</t>
  </si>
  <si>
    <t>DeLoreto</t>
  </si>
  <si>
    <t>michael.deloreto@chester-nj.org</t>
  </si>
  <si>
    <t>250 Route 24</t>
  </si>
  <si>
    <t>Denville Township K-8 School District</t>
  </si>
  <si>
    <t>Lakeview Elementary School</t>
  </si>
  <si>
    <t>Skye</t>
  </si>
  <si>
    <t>Sardanopoli</t>
  </si>
  <si>
    <t>ssardanopoli@denville.org</t>
  </si>
  <si>
    <t>44 COOPER ROAD</t>
  </si>
  <si>
    <t>DENVILLE</t>
  </si>
  <si>
    <t>Riverview Elementary School</t>
  </si>
  <si>
    <t>Theodoropoulos</t>
  </si>
  <si>
    <t>ctheodoropoulos@denville.org</t>
  </si>
  <si>
    <t>33 ST  MARYS PLACE</t>
  </si>
  <si>
    <t>Valleyview Middle School</t>
  </si>
  <si>
    <t>Korman</t>
  </si>
  <si>
    <t>skorman@denville.org</t>
  </si>
  <si>
    <t>320 DIAMOND SPRING ROAD</t>
  </si>
  <si>
    <t>Dover Public School District</t>
  </si>
  <si>
    <t>DOVER</t>
  </si>
  <si>
    <t>Dover High School</t>
  </si>
  <si>
    <t>Freddy</t>
  </si>
  <si>
    <t>fnunez@dover-nj.org</t>
  </si>
  <si>
    <t>100 GRACE STREET</t>
  </si>
  <si>
    <t>Dover Middle School</t>
  </si>
  <si>
    <t>McAuley</t>
  </si>
  <si>
    <t>mmcauley@dover-nj.org</t>
  </si>
  <si>
    <t>302 EAST MCFARLAN STREET</t>
  </si>
  <si>
    <t>East Hanover Township School District</t>
  </si>
  <si>
    <t>Falcone</t>
  </si>
  <si>
    <t>mfalcone@easthanoverschools.org</t>
  </si>
  <si>
    <t>400 RIDGEDALE AVENUE</t>
  </si>
  <si>
    <t>EAST HANOVER</t>
  </si>
  <si>
    <t>East Hanover Middle School</t>
  </si>
  <si>
    <t>Costello</t>
  </si>
  <si>
    <t>scostello@easthanoverschools.org</t>
  </si>
  <si>
    <t>477 RIDGEDALE AVENUE</t>
  </si>
  <si>
    <t>Frank J Smith Elementary</t>
  </si>
  <si>
    <t>Tuorto</t>
  </si>
  <si>
    <t>mtuorto@easthanoverschools.org</t>
  </si>
  <si>
    <t>27 GREEN DRIVE</t>
  </si>
  <si>
    <t>Educational Services Commission of Morris County</t>
  </si>
  <si>
    <t>Central Park School</t>
  </si>
  <si>
    <t>dmoore@escmorris.com</t>
  </si>
  <si>
    <t>5 Jean Street</t>
  </si>
  <si>
    <t>Florham Park School District</t>
  </si>
  <si>
    <t>Briarwood School</t>
  </si>
  <si>
    <t>Serfozo</t>
  </si>
  <si>
    <t>jeremy.serfozo@fpks.org</t>
  </si>
  <si>
    <t>151 BRIARWOOD ROAD</t>
  </si>
  <si>
    <t>FLORHAM PARK</t>
  </si>
  <si>
    <t>Brooklake School</t>
  </si>
  <si>
    <t>robert.foster@fpks.org</t>
  </si>
  <si>
    <t>235 BROOKLAKE ROAD</t>
  </si>
  <si>
    <t>Ridgedale Middle School</t>
  </si>
  <si>
    <t>Steffner</t>
  </si>
  <si>
    <t>nicholas.steffner@fpks.org</t>
  </si>
  <si>
    <t>71 RIDGEDALE AVENUE</t>
  </si>
  <si>
    <t>Hanover Park Regional High School District</t>
  </si>
  <si>
    <t>Hanover Park High School</t>
  </si>
  <si>
    <t>Callanan</t>
  </si>
  <si>
    <t>tcallanan@hpreg.org</t>
  </si>
  <si>
    <t>63 MT  PLEASANT AVENUE</t>
  </si>
  <si>
    <t>Whippany Park High School</t>
  </si>
  <si>
    <t>ckelly@hpreg.org</t>
  </si>
  <si>
    <t>165 WHIPPANY ROAD</t>
  </si>
  <si>
    <t>WHIPPANY</t>
  </si>
  <si>
    <t>Hanover Township School District</t>
  </si>
  <si>
    <t>Whippany</t>
  </si>
  <si>
    <t>Memorial Junior School</t>
  </si>
  <si>
    <t>michael.anderson@hanovertwpschools.org</t>
  </si>
  <si>
    <t>61 Highland Avenue</t>
  </si>
  <si>
    <t>Mountview Road School</t>
  </si>
  <si>
    <t>Carmen</t>
  </si>
  <si>
    <t>Camean</t>
  </si>
  <si>
    <t>Carmen.Camean@hanovertwpschools.org</t>
  </si>
  <si>
    <t>30 MOUNTVIEW ROAD</t>
  </si>
  <si>
    <t>MORRIS PLAINS</t>
  </si>
  <si>
    <t>Salem Drive School</t>
  </si>
  <si>
    <t>rob.camean@hanovertwpschools.org</t>
  </si>
  <si>
    <t>29 SALEM DRIVE</t>
  </si>
  <si>
    <t>Grace</t>
  </si>
  <si>
    <t>Harding Township School District</t>
  </si>
  <si>
    <t>Harding Township School</t>
  </si>
  <si>
    <t>Friedman</t>
  </si>
  <si>
    <t>afriedman@hardingtwp.org</t>
  </si>
  <si>
    <t>34 LEES HILL ROAD</t>
  </si>
  <si>
    <t>NEW VERNON</t>
  </si>
  <si>
    <t>Jefferson Township Public School District</t>
  </si>
  <si>
    <t>Arthur Stanlick Elementary School</t>
  </si>
  <si>
    <t>dpapa@jefftwp.org</t>
  </si>
  <si>
    <t>121 B  SHAWNEE TRAIL</t>
  </si>
  <si>
    <t>LK SHAWNEE JEFFERSON TWSP</t>
  </si>
  <si>
    <t>WHARTON</t>
  </si>
  <si>
    <t>OAK RIDGE</t>
  </si>
  <si>
    <t>Jefferson Township High School</t>
  </si>
  <si>
    <t>Lipton</t>
  </si>
  <si>
    <t>klipton@jefftwp.org</t>
  </si>
  <si>
    <t>1010 WELDON RD   RD2</t>
  </si>
  <si>
    <t>Jefferson Township Middle School</t>
  </si>
  <si>
    <t>Widgren</t>
  </si>
  <si>
    <t>mwidgren@jefftwp.org</t>
  </si>
  <si>
    <t>1000 WELDON ROAD</t>
  </si>
  <si>
    <t>White Rock Elementary School</t>
  </si>
  <si>
    <t>Plotts</t>
  </si>
  <si>
    <t>tplotts@jefftwp.org</t>
  </si>
  <si>
    <t>2 FRANCINE PLACE</t>
  </si>
  <si>
    <t>Kinnelon School District</t>
  </si>
  <si>
    <t>Kiel Elementary School</t>
  </si>
  <si>
    <t>Oluwole</t>
  </si>
  <si>
    <t>oluwolej@kinnelon.org</t>
  </si>
  <si>
    <t>115 KIEL AVENUE</t>
  </si>
  <si>
    <t>KINNELON</t>
  </si>
  <si>
    <t>Kinnelon High School</t>
  </si>
  <si>
    <t>Suda</t>
  </si>
  <si>
    <t>sudag@kinnelon.org</t>
  </si>
  <si>
    <t>121 KINNELON ROAD</t>
  </si>
  <si>
    <t>Pearl R. Miller Middle School</t>
  </si>
  <si>
    <t>mongonm@kinnelon.org</t>
  </si>
  <si>
    <t>117 KIEL AVENUE</t>
  </si>
  <si>
    <t>McClain</t>
  </si>
  <si>
    <t>Stonybrook Elementary School</t>
  </si>
  <si>
    <t>Uttel</t>
  </si>
  <si>
    <t>utteld@kinnelon.org</t>
  </si>
  <si>
    <t>118 BOONTON AVENUE</t>
  </si>
  <si>
    <t>Lincoln Park School District</t>
  </si>
  <si>
    <t>LINCOLN PARK</t>
  </si>
  <si>
    <t>Lincoln Park Middle School</t>
  </si>
  <si>
    <t>Winston</t>
  </si>
  <si>
    <t>winston@lincpk.com</t>
  </si>
  <si>
    <t>90 RYERSON ROAD</t>
  </si>
  <si>
    <t>Long Hill Township School District</t>
  </si>
  <si>
    <t>Central Middle School</t>
  </si>
  <si>
    <t>Viturello</t>
  </si>
  <si>
    <t>mviturello@longhill.org</t>
  </si>
  <si>
    <t>90 Central Avenue</t>
  </si>
  <si>
    <t>Stirling</t>
  </si>
  <si>
    <t>Millington Elementary School</t>
  </si>
  <si>
    <t>jdawson@longhill.org</t>
  </si>
  <si>
    <t>91 Northfield Road</t>
  </si>
  <si>
    <t>Millington</t>
  </si>
  <si>
    <t>Madison Public School District</t>
  </si>
  <si>
    <t>MADISON</t>
  </si>
  <si>
    <t>Kings Road School</t>
  </si>
  <si>
    <t>Koop</t>
  </si>
  <si>
    <t>KoopK@MadisonNJPS.org</t>
  </si>
  <si>
    <t>215 KINGS ROAD</t>
  </si>
  <si>
    <t>Madison High School</t>
  </si>
  <si>
    <t>Drechsel</t>
  </si>
  <si>
    <t>Drechseld@Madisonnjps.org</t>
  </si>
  <si>
    <t>170 RIDGEDALE AVENUE</t>
  </si>
  <si>
    <t>Madison Junior School</t>
  </si>
  <si>
    <t>Perrone</t>
  </si>
  <si>
    <t>perronef@madisonnjps.org</t>
  </si>
  <si>
    <t>160 MAIN STREET</t>
  </si>
  <si>
    <t>Torey J. Sabatini School</t>
  </si>
  <si>
    <t>Ileana</t>
  </si>
  <si>
    <t>garciai@MadisonNJPS.org</t>
  </si>
  <si>
    <t>Glenwild Circle</t>
  </si>
  <si>
    <t>Mendham Borough School District</t>
  </si>
  <si>
    <t>MENDHAM</t>
  </si>
  <si>
    <t>Mountain View School</t>
  </si>
  <si>
    <t>Toth</t>
  </si>
  <si>
    <t>toth@mendhamboroschools.org</t>
  </si>
  <si>
    <t>100 DEAN ROAD</t>
  </si>
  <si>
    <t>Mendham Township School District</t>
  </si>
  <si>
    <t>BROOKSIDE</t>
  </si>
  <si>
    <t>Mendham Township Middle School</t>
  </si>
  <si>
    <t>Ciccone</t>
  </si>
  <si>
    <t>pciccone@mendhamtwp.org</t>
  </si>
  <si>
    <t>16 WASHINGTON VALLEY ROAD</t>
  </si>
  <si>
    <t>Montville Township School District</t>
  </si>
  <si>
    <t>Cedar Hill School</t>
  </si>
  <si>
    <t>Raj</t>
  </si>
  <si>
    <t>michael.raj@montville.net</t>
  </si>
  <si>
    <t>46 PINE BROOK ROAD</t>
  </si>
  <si>
    <t>TOWACO</t>
  </si>
  <si>
    <t>Hilldale School</t>
  </si>
  <si>
    <t>Cisneros</t>
  </si>
  <si>
    <t>jill.cisneros@montville.net</t>
  </si>
  <si>
    <t>123 KONNER AVENUE</t>
  </si>
  <si>
    <t>PINE BROOK</t>
  </si>
  <si>
    <t>Montville Township High School</t>
  </si>
  <si>
    <t>douglas.sanford@montville.net</t>
  </si>
  <si>
    <t>100 HORSENECK ROAD</t>
  </si>
  <si>
    <t>MONTVILLE</t>
  </si>
  <si>
    <t>Robert R Lazar Middle School</t>
  </si>
  <si>
    <t>Pasciuto</t>
  </si>
  <si>
    <t>michael.pasciuto@montville.net</t>
  </si>
  <si>
    <t>123 CHANGEBRIDGE ROAD</t>
  </si>
  <si>
    <t>patricia.kennedy@montville.net</t>
  </si>
  <si>
    <t>30 MONTGOMERY AVENUE</t>
  </si>
  <si>
    <t>MONTVILLE TOWNSHIP</t>
  </si>
  <si>
    <t>William Mason School</t>
  </si>
  <si>
    <t>david.melucci@montville.net</t>
  </si>
  <si>
    <t>5 SHAWNEE TRAIL</t>
  </si>
  <si>
    <t>Woodmont School</t>
  </si>
  <si>
    <t>Dominic</t>
  </si>
  <si>
    <t>Dominic.Esposito@montville.net</t>
  </si>
  <si>
    <t>39 WOODMONT ROAD</t>
  </si>
  <si>
    <t>Morris County Vocational School District</t>
  </si>
  <si>
    <t>Academy for Environmental Science</t>
  </si>
  <si>
    <t>shaws@mcvts.org</t>
  </si>
  <si>
    <t>1010 Weldon Road</t>
  </si>
  <si>
    <t>Oak Ridge</t>
  </si>
  <si>
    <t>520 WEST MAIN STREET</t>
  </si>
  <si>
    <t>ROCKAWAY</t>
  </si>
  <si>
    <t>Academy for Performing Arts</t>
  </si>
  <si>
    <t>50 Knoll Drive</t>
  </si>
  <si>
    <t>Rockaway</t>
  </si>
  <si>
    <t>Athletic Training and Physical Therapy</t>
  </si>
  <si>
    <t>1 Bryant Drive</t>
  </si>
  <si>
    <t>Succasunna</t>
  </si>
  <si>
    <t>Morris County School of Technology</t>
  </si>
  <si>
    <t>Menadier</t>
  </si>
  <si>
    <t>menadierm@mcvts.org</t>
  </si>
  <si>
    <t>400 EAST MAIN STREET</t>
  </si>
  <si>
    <t>Morris Hills Regional School District</t>
  </si>
  <si>
    <t>Morris Hills High School</t>
  </si>
  <si>
    <t>Toriello</t>
  </si>
  <si>
    <t>ttoriello@mhrd.org</t>
  </si>
  <si>
    <t>Morris Knolls High School</t>
  </si>
  <si>
    <t>MacNaughton</t>
  </si>
  <si>
    <t>rmacnaughton@mhrd.org</t>
  </si>
  <si>
    <t>50 KNOLL DRIVE</t>
  </si>
  <si>
    <t>Morris Plains School District</t>
  </si>
  <si>
    <t>Morris Plains Borough School</t>
  </si>
  <si>
    <t>Crudele</t>
  </si>
  <si>
    <t>mcrudele@mpsdk8.org</t>
  </si>
  <si>
    <t>500 SPEEDWELL AVENUE</t>
  </si>
  <si>
    <t>Morris School District</t>
  </si>
  <si>
    <t>Alexander Hamilton</t>
  </si>
  <si>
    <t>edward.cisneros@msdk12.net</t>
  </si>
  <si>
    <t>24 MILLS STREET</t>
  </si>
  <si>
    <t>Alfred Vail School</t>
  </si>
  <si>
    <t>Bertani</t>
  </si>
  <si>
    <t>brad.bertani@msdk12.net</t>
  </si>
  <si>
    <t>125 SPEEDWELL AVENUE</t>
  </si>
  <si>
    <t>Frelinghuysen Middle School</t>
  </si>
  <si>
    <t>Lendis</t>
  </si>
  <si>
    <t>lia.lendis@msdk12.net</t>
  </si>
  <si>
    <t>WEST HANOVER AVENUE</t>
  </si>
  <si>
    <t>Hillcrest School</t>
  </si>
  <si>
    <t>Fischman</t>
  </si>
  <si>
    <t>lisa.fischman@msdk12.net</t>
  </si>
  <si>
    <t>160 HILLCREST AVENUE</t>
  </si>
  <si>
    <t>Morristown High School</t>
  </si>
  <si>
    <t>mark.manning@msdk12.net</t>
  </si>
  <si>
    <t>50 EARLY STREET</t>
  </si>
  <si>
    <t>Normandy Park School</t>
  </si>
  <si>
    <t>Christopher.miller@msdk12.net</t>
  </si>
  <si>
    <t>19A NORMANDY PARKWAY</t>
  </si>
  <si>
    <t>Thomas Jefferson School</t>
  </si>
  <si>
    <t>Frazzano</t>
  </si>
  <si>
    <t>cristina.frazzano@msdk12.net</t>
  </si>
  <si>
    <t>JAMES STREET &amp; OGDEN PLACE</t>
  </si>
  <si>
    <t>Thelemaque</t>
  </si>
  <si>
    <t>katina.thelemaque@msdk12.net</t>
  </si>
  <si>
    <t>51 JOHNSTON DRIVE</t>
  </si>
  <si>
    <t>CONVENT STATION</t>
  </si>
  <si>
    <t>Mount Arlington Public School District</t>
  </si>
  <si>
    <t>Coladarci</t>
  </si>
  <si>
    <t>jcoladarci@mtarlingtonk8.org</t>
  </si>
  <si>
    <t>MT  ARLINGTON</t>
  </si>
  <si>
    <t>Mount Arlington Public School</t>
  </si>
  <si>
    <t>235 HOWARD BOULEVARD</t>
  </si>
  <si>
    <t>Mount Olive Township School District</t>
  </si>
  <si>
    <t>Chester M. Stephens Elementary School</t>
  </si>
  <si>
    <t>Musarra</t>
  </si>
  <si>
    <t>nicole.musarra@motsd.org</t>
  </si>
  <si>
    <t>99 SUNSET DRIVE</t>
  </si>
  <si>
    <t>BUDD LAKE</t>
  </si>
  <si>
    <t>Mount Olive High School</t>
  </si>
  <si>
    <t>kevin.moore@motsd.org</t>
  </si>
  <si>
    <t>18 COREY ROAD</t>
  </si>
  <si>
    <t>FLANDERS</t>
  </si>
  <si>
    <t>Mount Olive Middle School</t>
  </si>
  <si>
    <t>Kramer</t>
  </si>
  <si>
    <t>james.kramer@motsd.org</t>
  </si>
  <si>
    <t>160 WOLFE ROAD</t>
  </si>
  <si>
    <t>Mountain View Elementary School</t>
  </si>
  <si>
    <t>Kolenski</t>
  </si>
  <si>
    <t>melissa.kolenski@motsd.org</t>
  </si>
  <si>
    <t>118 CLOVER HILL DRIVE</t>
  </si>
  <si>
    <t>Sandshore Rd. Elementary School</t>
  </si>
  <si>
    <t>Curry</t>
  </si>
  <si>
    <t>jennifer.curry@motsd.org</t>
  </si>
  <si>
    <t>498 SANDSHORE  ROAD</t>
  </si>
  <si>
    <t>Tinc Rd. Elementary School</t>
  </si>
  <si>
    <t>Grilo</t>
  </si>
  <si>
    <t>mark.grilo@motsd.org</t>
  </si>
  <si>
    <t>24 TINC ROAD</t>
  </si>
  <si>
    <t>Mountain Lakes Public School District</t>
  </si>
  <si>
    <t>Briarcliff Middle School</t>
  </si>
  <si>
    <t>ecarlson@mlschools.org</t>
  </si>
  <si>
    <t>93 Briarcliff Rd.</t>
  </si>
  <si>
    <t>Mountain Lakes</t>
  </si>
  <si>
    <t>Mountain Lakes High School</t>
  </si>
  <si>
    <t>Mangili</t>
  </si>
  <si>
    <t>rmangili@mlschools.org</t>
  </si>
  <si>
    <t>96 Powerville Rd.</t>
  </si>
  <si>
    <t>Wildwood Elementary School</t>
  </si>
  <si>
    <t>phiggins@mlschools.org</t>
  </si>
  <si>
    <t>51 Glen Rd.</t>
  </si>
  <si>
    <t>Parsippany-Troy Hills Township School District</t>
  </si>
  <si>
    <t>Brooklawn Middle School</t>
  </si>
  <si>
    <t>cstout@pthsd.net</t>
  </si>
  <si>
    <t>250 Beachwood Road</t>
  </si>
  <si>
    <t>Parsippany</t>
  </si>
  <si>
    <t>mgray@pthsd.net</t>
  </si>
  <si>
    <t>1620 Route 46</t>
  </si>
  <si>
    <t>Intervale Elementary School</t>
  </si>
  <si>
    <t>Waack</t>
  </si>
  <si>
    <t>cwaack@pthsd.net</t>
  </si>
  <si>
    <t>60 Pitt Rd</t>
  </si>
  <si>
    <t>Boonton</t>
  </si>
  <si>
    <t>sglinzenbold@pthsd.net</t>
  </si>
  <si>
    <t>445 Knoll Road</t>
  </si>
  <si>
    <t>Lake Hiawatha</t>
  </si>
  <si>
    <t>Lake Parsippany Elementary School</t>
  </si>
  <si>
    <t>mhoffman@pthsd.net</t>
  </si>
  <si>
    <t>225 Kingston Road</t>
  </si>
  <si>
    <t>Littleton Elementary School</t>
  </si>
  <si>
    <t>Staples</t>
  </si>
  <si>
    <t>btstaples@pthsd.net</t>
  </si>
  <si>
    <t>250 Brooklawn Drive</t>
  </si>
  <si>
    <t>Morris Plains</t>
  </si>
  <si>
    <t>Mount Tabor Elementary School</t>
  </si>
  <si>
    <t>Toomey</t>
  </si>
  <si>
    <t>matoomey@pthsd.net</t>
  </si>
  <si>
    <t>900 PARK RD &amp; ROUTE 53</t>
  </si>
  <si>
    <t>MOUNT TABOR</t>
  </si>
  <si>
    <t>Northvail Elementary School</t>
  </si>
  <si>
    <t>Betz</t>
  </si>
  <si>
    <t>nbetz@pthsd.net</t>
  </si>
  <si>
    <t>10 EILEEN COURT</t>
  </si>
  <si>
    <t>PARSIPPANY</t>
  </si>
  <si>
    <t>Parsippany High School</t>
  </si>
  <si>
    <t>Carucci</t>
  </si>
  <si>
    <t>mvcarucci@pthsd.net</t>
  </si>
  <si>
    <t>309 Baldwin Rd</t>
  </si>
  <si>
    <t>Parsippany Hills High School</t>
  </si>
  <si>
    <t>mjthompson@pthsd.net</t>
  </si>
  <si>
    <t>20 Rita Drive</t>
  </si>
  <si>
    <t>Rockaway Meadow Elementary School</t>
  </si>
  <si>
    <t>jcruz@pthsd.net</t>
  </si>
  <si>
    <t>160 EDWARDS ROAD</t>
  </si>
  <si>
    <t>Troy Hills Elementary School</t>
  </si>
  <si>
    <t>Martens</t>
  </si>
  <si>
    <t>jmartens@pthsd.net</t>
  </si>
  <si>
    <t>509 S  BEVERWYCK ROAD</t>
  </si>
  <si>
    <t>Pequannock Township School District</t>
  </si>
  <si>
    <t>Hillview School</t>
  </si>
  <si>
    <t>Stager</t>
  </si>
  <si>
    <t>allison.stager@pequannock.org</t>
  </si>
  <si>
    <t>206 Boulevard</t>
  </si>
  <si>
    <t>Pompton Plains</t>
  </si>
  <si>
    <t>Pequannock Township High School</t>
  </si>
  <si>
    <t>Hayzler</t>
  </si>
  <si>
    <t>richard.hayzler@pequannock.org</t>
  </si>
  <si>
    <t>85 Sunset Road</t>
  </si>
  <si>
    <t>Pequannock Valley School</t>
  </si>
  <si>
    <t>Seborowski</t>
  </si>
  <si>
    <t>john.seborowski@pequannock.org</t>
  </si>
  <si>
    <t>493 Newark Pompton Tpke.</t>
  </si>
  <si>
    <t>Stephen J. Gerace School</t>
  </si>
  <si>
    <t>Reiner</t>
  </si>
  <si>
    <t>matthew.reiner@pequannock.org</t>
  </si>
  <si>
    <t>59 Boulevard</t>
  </si>
  <si>
    <t>Pequannock</t>
  </si>
  <si>
    <t>Randolph Township School District</t>
  </si>
  <si>
    <t>RANDOLPH</t>
  </si>
  <si>
    <t>Fernbrook School</t>
  </si>
  <si>
    <t>mbernal@rtnj.org</t>
  </si>
  <si>
    <t>206 QUAKER CHURCH ROAD</t>
  </si>
  <si>
    <t>Krissy</t>
  </si>
  <si>
    <t>Ironia School</t>
  </si>
  <si>
    <t>Dressel</t>
  </si>
  <si>
    <t>kdressel@rtnj.org</t>
  </si>
  <si>
    <t>303 DOVER  CHESTER ROAD</t>
  </si>
  <si>
    <t>Randolph High School</t>
  </si>
  <si>
    <t>jbaxter@rtnj.org</t>
  </si>
  <si>
    <t>511 MILLBROOK AVENUE</t>
  </si>
  <si>
    <t>Randolph Middle School</t>
  </si>
  <si>
    <t>Kricheff</t>
  </si>
  <si>
    <t>dkricheff@rtnj.org</t>
  </si>
  <si>
    <t>507 MILLBROOK AVENUE</t>
  </si>
  <si>
    <t>Shongum School</t>
  </si>
  <si>
    <t>mscott@rtnj.org</t>
  </si>
  <si>
    <t>9 ARROW PLACE</t>
  </si>
  <si>
    <t>Rockaway Borough School District</t>
  </si>
  <si>
    <t>dwaxman@rockboro.org</t>
  </si>
  <si>
    <t>95 EAST MAIN STREET</t>
  </si>
  <si>
    <t>Rockaway Township School District</t>
  </si>
  <si>
    <t>Birchwood Elementary School</t>
  </si>
  <si>
    <t>Macones</t>
  </si>
  <si>
    <t>jmacones@rocktwp.net</t>
  </si>
  <si>
    <t>1 ART STREET</t>
  </si>
  <si>
    <t>Catherine A Dwyer Elementary School</t>
  </si>
  <si>
    <t>mmcgovern@rocktwp.net</t>
  </si>
  <si>
    <t>665 MT  HOPE AVENUE</t>
  </si>
  <si>
    <t>Copeland Middle School</t>
  </si>
  <si>
    <t>Dustin</t>
  </si>
  <si>
    <t>Bayer</t>
  </si>
  <si>
    <t>dbayer@rocktwp.net</t>
  </si>
  <si>
    <t>100 LAKE SHORE DRIVE</t>
  </si>
  <si>
    <t>Gaetano</t>
  </si>
  <si>
    <t>Sollazzo</t>
  </si>
  <si>
    <t>gsollazzo@rocktwp.net</t>
  </si>
  <si>
    <t>16 MINERAL SPRING DRIVE</t>
  </si>
  <si>
    <t>Katharine D Malone Elementary School</t>
  </si>
  <si>
    <t>Rawlins</t>
  </si>
  <si>
    <t>brawlins@rocktwp.net</t>
  </si>
  <si>
    <t>524 GREEN POND ROAD</t>
  </si>
  <si>
    <t>swisniewski@rocktwp.net</t>
  </si>
  <si>
    <t>44 STONY BROOK ROAD</t>
  </si>
  <si>
    <t>Roxbury Township School District</t>
  </si>
  <si>
    <t>Eisenhower Middle School</t>
  </si>
  <si>
    <t>pgallagher@roxbury.org</t>
  </si>
  <si>
    <t>47 EYLAND AVENUE</t>
  </si>
  <si>
    <t>SUCCASUNNA</t>
  </si>
  <si>
    <t>Cosgrove</t>
  </si>
  <si>
    <t>mcosgrove@roxbury.org</t>
  </si>
  <si>
    <t>35 CORN HOLLOW ROAD</t>
  </si>
  <si>
    <t>Lincoln/Roosevelt School</t>
  </si>
  <si>
    <t>Argenziano</t>
  </si>
  <si>
    <t>cargenziano@roxbury.org</t>
  </si>
  <si>
    <t>34 NORTH HILLSIDE AVENUE</t>
  </si>
  <si>
    <t>Roxbury High School</t>
  </si>
  <si>
    <t>Crispino</t>
  </si>
  <si>
    <t>wcrispino@roxbury.org</t>
  </si>
  <si>
    <t>ONE BRYANT DRIVE</t>
  </si>
  <si>
    <t>School District of the Chathams</t>
  </si>
  <si>
    <t>Chatham High School</t>
  </si>
  <si>
    <t>dwalker@chatham-nj.org</t>
  </si>
  <si>
    <t>255 LAFAYETTE AVENUE</t>
  </si>
  <si>
    <t>CHATHAM</t>
  </si>
  <si>
    <t>Henderson</t>
  </si>
  <si>
    <t>Chatham Middle School</t>
  </si>
  <si>
    <t>Orsini</t>
  </si>
  <si>
    <t>aorsini@chatham-nj.org</t>
  </si>
  <si>
    <t>Lafayette Avenue School</t>
  </si>
  <si>
    <t>crusso@chatham-nj.org</t>
  </si>
  <si>
    <t>221 LAFAYETTE AVENUE</t>
  </si>
  <si>
    <t>Southern Boulevard School</t>
  </si>
  <si>
    <t>Marco</t>
  </si>
  <si>
    <t>Freyre</t>
  </si>
  <si>
    <t>mfreyre@chatham-nj.org</t>
  </si>
  <si>
    <t>192 SOUTHERN BOULEVARD</t>
  </si>
  <si>
    <t>Washington Avenue School</t>
  </si>
  <si>
    <t>Dudlo</t>
  </si>
  <si>
    <t>kdudlo@chatham-nj.org</t>
  </si>
  <si>
    <t>102 WASHINGTON AVENUE</t>
  </si>
  <si>
    <t>LONG VALLEY</t>
  </si>
  <si>
    <t>Long Valley Middle School</t>
  </si>
  <si>
    <t>Ippolito</t>
  </si>
  <si>
    <t>mippolito@wtschools.org</t>
  </si>
  <si>
    <t>51 WEST MILL RD</t>
  </si>
  <si>
    <t>West Morris Regional High School District</t>
  </si>
  <si>
    <t>West Morris Central High School</t>
  </si>
  <si>
    <t>Rymer</t>
  </si>
  <si>
    <t>trymer@wmrhsd.org</t>
  </si>
  <si>
    <t>259 BARTLEY ROAD</t>
  </si>
  <si>
    <t>CHESTER</t>
  </si>
  <si>
    <t>West Morris Mendham High School</t>
  </si>
  <si>
    <t>Meagher</t>
  </si>
  <si>
    <t>ameagher@wmrhsd.org</t>
  </si>
  <si>
    <t>65 EAST MAIN STREET</t>
  </si>
  <si>
    <t>Wharton Borough School District</t>
  </si>
  <si>
    <t>Alfred C. MacKinnon Middle School</t>
  </si>
  <si>
    <t>HAYZLER</t>
  </si>
  <si>
    <t>rhayzler@wbps.org</t>
  </si>
  <si>
    <t>137 East Central Avenue</t>
  </si>
  <si>
    <t>Wharton</t>
  </si>
  <si>
    <t>FRANK</t>
  </si>
  <si>
    <t>MICHAEL</t>
  </si>
  <si>
    <t>Barnegat Township School District</t>
  </si>
  <si>
    <t>Barnegat High School</t>
  </si>
  <si>
    <t>Magee</t>
  </si>
  <si>
    <t>pmagee@barnegatschools.com</t>
  </si>
  <si>
    <t>180 BENGAL BLVD</t>
  </si>
  <si>
    <t>BARNEGAT</t>
  </si>
  <si>
    <t>Cecil S. Collins Elementary</t>
  </si>
  <si>
    <t>Nora</t>
  </si>
  <si>
    <t>ngreen@barnegatschools.com</t>
  </si>
  <si>
    <t>570 BARNEGAT BLVD  NORTH</t>
  </si>
  <si>
    <t>Joseph T. Donahue Elementary School</t>
  </si>
  <si>
    <t>Santolla</t>
  </si>
  <si>
    <t>rsantolla@barnegatschools.com</t>
  </si>
  <si>
    <t>200 BENGAL BLVD</t>
  </si>
  <si>
    <t>Robert L. Horbelt Elementary School</t>
  </si>
  <si>
    <t>Saxton</t>
  </si>
  <si>
    <t>jsaxton@barnegatschools.com</t>
  </si>
  <si>
    <t>104 BURR STREET</t>
  </si>
  <si>
    <t>Russell O. Brackman Middle School</t>
  </si>
  <si>
    <t>Toddings</t>
  </si>
  <si>
    <t>jtoddings@barnegatschools.com</t>
  </si>
  <si>
    <t>600 BARNEGAT BLVD  NORTH</t>
  </si>
  <si>
    <t>Bay Head Borough School District</t>
  </si>
  <si>
    <t>Bay Head Elementary</t>
  </si>
  <si>
    <t>Camardo</t>
  </si>
  <si>
    <t>camardo@bayheadschool.org</t>
  </si>
  <si>
    <t>145 GROVE STREET</t>
  </si>
  <si>
    <t>BAY HEAD</t>
  </si>
  <si>
    <t>Beach Haven School District</t>
  </si>
  <si>
    <t>Beach Haven School</t>
  </si>
  <si>
    <t>Loeffler</t>
  </si>
  <si>
    <t>tloeffler@beachhavenschool.com</t>
  </si>
  <si>
    <t>700 North Beach Ave.</t>
  </si>
  <si>
    <t>Beach Haven</t>
  </si>
  <si>
    <t>Berkeley Township School District</t>
  </si>
  <si>
    <t>BAYVILLE</t>
  </si>
  <si>
    <t>Berkeley Township Elementary School</t>
  </si>
  <si>
    <t>Prima</t>
  </si>
  <si>
    <t>dprima@btboe.org</t>
  </si>
  <si>
    <t>10 EMORY AVENUE</t>
  </si>
  <si>
    <t>Brick Township Public School District</t>
  </si>
  <si>
    <t>Brick Township High School</t>
  </si>
  <si>
    <t>Kasyan</t>
  </si>
  <si>
    <t>dkasyan@brickschools.org</t>
  </si>
  <si>
    <t>346 CHAMBERS BRIDGE RD</t>
  </si>
  <si>
    <t>BRICK TOWN</t>
  </si>
  <si>
    <t>Brick Township Memorial High School</t>
  </si>
  <si>
    <t>Sarluca</t>
  </si>
  <si>
    <t>esarluca@brickschools.org</t>
  </si>
  <si>
    <t>2001 LANES MILL RD</t>
  </si>
  <si>
    <t>BRICK</t>
  </si>
  <si>
    <t>Drum Point Road Elementary School</t>
  </si>
  <si>
    <t>Caldes</t>
  </si>
  <si>
    <t>acaldes@brickschools.org</t>
  </si>
  <si>
    <t>41 DRUM POINT RD</t>
  </si>
  <si>
    <t>Emma Havens Young Elementary School</t>
  </si>
  <si>
    <t>Cloud</t>
  </si>
  <si>
    <t>mcloud@brickschools.org</t>
  </si>
  <si>
    <t>43 DRUM POINT RD</t>
  </si>
  <si>
    <t>Lake Riviera Middle School</t>
  </si>
  <si>
    <t>kcampbell2@brickschools.org</t>
  </si>
  <si>
    <t>171 BEAVERSON BOULEVARD</t>
  </si>
  <si>
    <t>Lanes Mill Elementary School</t>
  </si>
  <si>
    <t>Kotsianas</t>
  </si>
  <si>
    <t>rkotsianus@brickschools.org</t>
  </si>
  <si>
    <t>1891 LANES MILL RD</t>
  </si>
  <si>
    <t>Midstreams Elementary School</t>
  </si>
  <si>
    <t>Billen</t>
  </si>
  <si>
    <t>jbillen@brickschools.org</t>
  </si>
  <si>
    <t>500 MIDSTREAMS RD</t>
  </si>
  <si>
    <t>Osbornville Elementary School</t>
  </si>
  <si>
    <t>Jayne</t>
  </si>
  <si>
    <t>VanNosdall</t>
  </si>
  <si>
    <t>jvannosdall@brickschools.org</t>
  </si>
  <si>
    <t>218 DRUM POINT RD</t>
  </si>
  <si>
    <t>Veterans Memorial Elementary School</t>
  </si>
  <si>
    <t>Blessing</t>
  </si>
  <si>
    <t>rblessing@brickschools.org</t>
  </si>
  <si>
    <t>103 HENDRICKSON AVENUE</t>
  </si>
  <si>
    <t>Veterans Memorial Middle School</t>
  </si>
  <si>
    <t>Triantafillos</t>
  </si>
  <si>
    <t>dtriantafillos@brickschools.org</t>
  </si>
  <si>
    <t>105 HENDRICKSON AVENUE</t>
  </si>
  <si>
    <t>Central Regional School District</t>
  </si>
  <si>
    <t>Central Regional High School</t>
  </si>
  <si>
    <t>Angello</t>
  </si>
  <si>
    <t>Mazzuca</t>
  </si>
  <si>
    <t>amazzuca@centralreg.k12.nj.us</t>
  </si>
  <si>
    <t>509 FOREST HILLS PARKWAY</t>
  </si>
  <si>
    <t>Central Regional Middle School</t>
  </si>
  <si>
    <t>Firetto</t>
  </si>
  <si>
    <t>jfiretto@centralregional.net</t>
  </si>
  <si>
    <t>Jackson Township School District</t>
  </si>
  <si>
    <t>Carl W. Goetz Middle School</t>
  </si>
  <si>
    <t>Perino</t>
  </si>
  <si>
    <t>cjperino@jacksonsd.org</t>
  </si>
  <si>
    <t>835 Patterson Road</t>
  </si>
  <si>
    <t>Christa McAuliffe Middle School</t>
  </si>
  <si>
    <t>Phillips</t>
  </si>
  <si>
    <t>DPhillips@jacksonsd.org</t>
  </si>
  <si>
    <t>35 South Hope Chapel Road</t>
  </si>
  <si>
    <t>Jackson Liberty High School</t>
  </si>
  <si>
    <t>Brignola</t>
  </si>
  <si>
    <t>gpbrignola@jacksonsd.org</t>
  </si>
  <si>
    <t>125 North Hope Chapel Road</t>
  </si>
  <si>
    <t>Lacey Township School District</t>
  </si>
  <si>
    <t>Cedar Creek Elementary School</t>
  </si>
  <si>
    <t>Niemiec</t>
  </si>
  <si>
    <t>hniemiec@laceyschools.org</t>
  </si>
  <si>
    <t>220 WESTERN BLVD</t>
  </si>
  <si>
    <t>LANOKA HARBOR</t>
  </si>
  <si>
    <t>Forked River Elementary School</t>
  </si>
  <si>
    <t>Fiedler</t>
  </si>
  <si>
    <t>efiedler@laceyschools.org</t>
  </si>
  <si>
    <t>110 LACEY ROAD</t>
  </si>
  <si>
    <t>FORKED RIVER</t>
  </si>
  <si>
    <t>Lacey Township High School</t>
  </si>
  <si>
    <t>KIng</t>
  </si>
  <si>
    <t>jking@laceyschools.org</t>
  </si>
  <si>
    <t>73 HAINES STREET</t>
  </si>
  <si>
    <t>Lacey Township Middle School</t>
  </si>
  <si>
    <t>Brandis</t>
  </si>
  <si>
    <t>gbrandis@laceyschools.org</t>
  </si>
  <si>
    <t>660 DENTON AVENUE</t>
  </si>
  <si>
    <t>Lanoka Harbor Elementary School</t>
  </si>
  <si>
    <t>jbrewer@laceyschools.org</t>
  </si>
  <si>
    <t>281 MANCHESTER AVE</t>
  </si>
  <si>
    <t>Lakewood Township School District</t>
  </si>
  <si>
    <t>Clifton Ave Grade School</t>
  </si>
  <si>
    <t>Licamara</t>
  </si>
  <si>
    <t>alicamara@lakewoodpiners.org</t>
  </si>
  <si>
    <t>625 CLIFTON AVENUE</t>
  </si>
  <si>
    <t>LAKEWOOD</t>
  </si>
  <si>
    <t>Ella G Clarke Elementary School</t>
  </si>
  <si>
    <t>erivera@lakewoodpiners.org</t>
  </si>
  <si>
    <t>455 MANETTA AVENUE</t>
  </si>
  <si>
    <t>Lakewood High School</t>
  </si>
  <si>
    <t>rgoldstein@lakewoodpiners.org</t>
  </si>
  <si>
    <t>855 SOMERSET AVENUE</t>
  </si>
  <si>
    <t>Lakewood Middle School</t>
  </si>
  <si>
    <t>Mazzeo</t>
  </si>
  <si>
    <t>dmazzeo@lakewoodpiners.org</t>
  </si>
  <si>
    <t>755 SOMERSET AVENUE</t>
  </si>
  <si>
    <t>Oak Street Elem School</t>
  </si>
  <si>
    <t>Ring</t>
  </si>
  <si>
    <t>jring@lakewoodpiners.org</t>
  </si>
  <si>
    <t>75 OAK STREET</t>
  </si>
  <si>
    <t>Spruce Street Elementary School</t>
  </si>
  <si>
    <t>mmarshall@lakewoodpiners.org</t>
  </si>
  <si>
    <t>90 SPRUCE STREET</t>
  </si>
  <si>
    <t>Little Egg Harbor Township School District</t>
  </si>
  <si>
    <t>Frog Pond Elementary School</t>
  </si>
  <si>
    <t>Denning</t>
  </si>
  <si>
    <t>Tdenning@lehsd.org</t>
  </si>
  <si>
    <t>305 FROG POND ROAD</t>
  </si>
  <si>
    <t>LITTLE EGG HARBOR</t>
  </si>
  <si>
    <t>George J. Mitchell Elementary School</t>
  </si>
  <si>
    <t>ccummings@lehsd.org</t>
  </si>
  <si>
    <t>950 ROUTE 539</t>
  </si>
  <si>
    <t>Little Egg Harbor</t>
  </si>
  <si>
    <t>Long Beach Island School District</t>
  </si>
  <si>
    <t>Long Beach Island Grade School</t>
  </si>
  <si>
    <t>Kopack</t>
  </si>
  <si>
    <t>pkopack@lbischools.org</t>
  </si>
  <si>
    <t>201 West 20TH STREET</t>
  </si>
  <si>
    <t>SHIP BOTTOM</t>
  </si>
  <si>
    <t>Manchester Township School District</t>
  </si>
  <si>
    <t>JACKSON</t>
  </si>
  <si>
    <t>MANCHESTER</t>
  </si>
  <si>
    <t>Manchester Township High School</t>
  </si>
  <si>
    <t>dadams@mtschools.org</t>
  </si>
  <si>
    <t>101 HAWKS WAY</t>
  </si>
  <si>
    <t>Manchester Township Middle School</t>
  </si>
  <si>
    <t>Driber</t>
  </si>
  <si>
    <t>ndriber@mtschools.org</t>
  </si>
  <si>
    <t>2759 RIDGEWAY RD</t>
  </si>
  <si>
    <t>Ocean County Vocational Technical School District</t>
  </si>
  <si>
    <t>Marine Academy of Technology and Environmental Science</t>
  </si>
  <si>
    <t>acarroll@ocvts.org</t>
  </si>
  <si>
    <t>195 CEDAR BRIDGE ROAD</t>
  </si>
  <si>
    <t>MANAHAWKIN</t>
  </si>
  <si>
    <t>OCVTS Grunin Performing Arts Academy</t>
  </si>
  <si>
    <t>Tierney</t>
  </si>
  <si>
    <t>Meeker</t>
  </si>
  <si>
    <t>tmeeker@ocvts.org</t>
  </si>
  <si>
    <t>1 College Drive</t>
  </si>
  <si>
    <t>Toms River</t>
  </si>
  <si>
    <t>Ocean County Vocational Technical School Brick Center</t>
  </si>
  <si>
    <t>lsauer@ocvts.org</t>
  </si>
  <si>
    <t>350 CHAMBERS BRIDGE ROAD</t>
  </si>
  <si>
    <t>Ocean County Vocational Technical School Jackson Center</t>
  </si>
  <si>
    <t>Biscardi</t>
  </si>
  <si>
    <t>JBiscardi@ocvts.org</t>
  </si>
  <si>
    <t>850 TOMS RIVER ROAD</t>
  </si>
  <si>
    <t>Ocean County Vocational Technical School Toms River Center</t>
  </si>
  <si>
    <t>Santasieri</t>
  </si>
  <si>
    <t>CSantasieri@ocvts.org</t>
  </si>
  <si>
    <t>1299 OLD FREEHOLD ROAD</t>
  </si>
  <si>
    <t>TOMS RIVER</t>
  </si>
  <si>
    <t>Ocean County Vocational Technical School Waretown Center</t>
  </si>
  <si>
    <t>McInerney</t>
  </si>
  <si>
    <t>tmcinerney@ocvts.org</t>
  </si>
  <si>
    <t>423 WELLS MILLS ROAD</t>
  </si>
  <si>
    <t>WARETOWN</t>
  </si>
  <si>
    <t>Ocean Township School District</t>
  </si>
  <si>
    <t>Frederic A. Priff Elementary School</t>
  </si>
  <si>
    <t>Ariane</t>
  </si>
  <si>
    <t>ArianePhillips@otsdk6.org</t>
  </si>
  <si>
    <t>139 WELLS MILL ROAD</t>
  </si>
  <si>
    <t>Pinelands Regional School District</t>
  </si>
  <si>
    <t>Pinelands Regional High School</t>
  </si>
  <si>
    <t>THenderson@prsdnj.org</t>
  </si>
  <si>
    <t>565 Nugentown Road</t>
  </si>
  <si>
    <t>Pinelands Regional Jr. High School</t>
  </si>
  <si>
    <t>Pschorr</t>
  </si>
  <si>
    <t>FPschorr@prsdnj.org</t>
  </si>
  <si>
    <t>590 Nugentown Road</t>
  </si>
  <si>
    <t>Plumsted Township School District</t>
  </si>
  <si>
    <t>Dr. Gerald H. Woehr Elementary School</t>
  </si>
  <si>
    <t>Nesbihal</t>
  </si>
  <si>
    <t>nesbihalt@newegypt.us</t>
  </si>
  <si>
    <t>44 N MAIN ST</t>
  </si>
  <si>
    <t>NEW EGYPT</t>
  </si>
  <si>
    <t>New Egypt High School</t>
  </si>
  <si>
    <t>caldesr@newegypt.us</t>
  </si>
  <si>
    <t>117 EVERGREEN ROAD</t>
  </si>
  <si>
    <t>Point Pleasant Beach School District</t>
  </si>
  <si>
    <t>G. Harold Antrim Elementary School</t>
  </si>
  <si>
    <t>webert@ptbeach.com</t>
  </si>
  <si>
    <t>401 Niblick Street</t>
  </si>
  <si>
    <t>Point Pleasant Beach</t>
  </si>
  <si>
    <t>Darlene</t>
  </si>
  <si>
    <t>Point Pleasant Beach High School</t>
  </si>
  <si>
    <t>Nate</t>
  </si>
  <si>
    <t>Grosshandler</t>
  </si>
  <si>
    <t>grosshandlern@ptbeach.com</t>
  </si>
  <si>
    <t>700 Trenton Avenue</t>
  </si>
  <si>
    <t>Point Pleasant Borough School District</t>
  </si>
  <si>
    <t>gfloyd@pointpleasant.k12.nj.us</t>
  </si>
  <si>
    <t>808 LAURA HERBERT DR</t>
  </si>
  <si>
    <t>POINT PLEASANT</t>
  </si>
  <si>
    <t>Nellie F. Bennett Elementary School</t>
  </si>
  <si>
    <t>Karaba</t>
  </si>
  <si>
    <t>jkaraba@pointpleasant.k12.nj.us</t>
  </si>
  <si>
    <t>2000 RIVIERA PARKWAY</t>
  </si>
  <si>
    <t>Ocean Road Elementary School</t>
  </si>
  <si>
    <t>Buck</t>
  </si>
  <si>
    <t>sbuck@pointpleasant.k12.nj.us</t>
  </si>
  <si>
    <t>1210 BENEDICT STREET</t>
  </si>
  <si>
    <t>Point Pleasant Borough High School</t>
  </si>
  <si>
    <t>Kurtis</t>
  </si>
  <si>
    <t>Karcich</t>
  </si>
  <si>
    <t>kkarcich@pointpleasant.k12.nj.us</t>
  </si>
  <si>
    <t>830 LAURA HERBERT DR</t>
  </si>
  <si>
    <t>Southern Regional School District</t>
  </si>
  <si>
    <t>Southern Regional High School</t>
  </si>
  <si>
    <t>Medica</t>
  </si>
  <si>
    <t>jmedica@srsd.net</t>
  </si>
  <si>
    <t>90 CEDAR BRIDGE ROAD</t>
  </si>
  <si>
    <t>Southern Regional Middle School</t>
  </si>
  <si>
    <t>Elisabeth</t>
  </si>
  <si>
    <t>Brahn</t>
  </si>
  <si>
    <t>ebrahn@srsd.net</t>
  </si>
  <si>
    <t>75 CEDAR BRIDGE ROAD</t>
  </si>
  <si>
    <t>Stafford Township School District</t>
  </si>
  <si>
    <t>McKinley Avenue Elementary School</t>
  </si>
  <si>
    <t>Eberle</t>
  </si>
  <si>
    <t>teberle@staffordschools.org</t>
  </si>
  <si>
    <t>1000 McKinley Avenue</t>
  </si>
  <si>
    <t>Manahawkin</t>
  </si>
  <si>
    <t>Stafford Intermediate School</t>
  </si>
  <si>
    <t>Zaun</t>
  </si>
  <si>
    <t>hzaun@staffordschools.org</t>
  </si>
  <si>
    <t>Toms River Regional School District</t>
  </si>
  <si>
    <t>Beachwood Elementary School</t>
  </si>
  <si>
    <t>Muir</t>
  </si>
  <si>
    <t>kmuir@trschools.com</t>
  </si>
  <si>
    <t>901 BERKELEY AVENUE</t>
  </si>
  <si>
    <t>BEACHWOOD</t>
  </si>
  <si>
    <t>Hooper Avenue Elementary School</t>
  </si>
  <si>
    <t>jhughes@trschools.com</t>
  </si>
  <si>
    <t>1517  HOOPER AVENUE</t>
  </si>
  <si>
    <t>Joseph A. Citta Elementary School</t>
  </si>
  <si>
    <t>Pallen</t>
  </si>
  <si>
    <t>mpallen@trschools.com</t>
  </si>
  <si>
    <t>2050 LAKEWOOD ROAD</t>
  </si>
  <si>
    <t>Crockett</t>
  </si>
  <si>
    <t>Pine Beach Elementary School</t>
  </si>
  <si>
    <t>Tutzauer</t>
  </si>
  <si>
    <t>tmoran@trschools.com</t>
  </si>
  <si>
    <t>101 PENNSYLVANIA AVENUE</t>
  </si>
  <si>
    <t>PINE BEACH</t>
  </si>
  <si>
    <t>South Toms River Elementary School</t>
  </si>
  <si>
    <t>Holzapfel</t>
  </si>
  <si>
    <t>dholzapfel@trschools.com</t>
  </si>
  <si>
    <t>419 DOVER ROAD</t>
  </si>
  <si>
    <t>SOUTH TOMS RIVER</t>
  </si>
  <si>
    <t>Toms River High School East</t>
  </si>
  <si>
    <t>eanders@trschools.com</t>
  </si>
  <si>
    <t>1225 RAIDER WAY</t>
  </si>
  <si>
    <t>Toms River High School North</t>
  </si>
  <si>
    <t>Keller</t>
  </si>
  <si>
    <t>ekeller@trschools.com</t>
  </si>
  <si>
    <t>1245 OLD FREEHOLD ROAD</t>
  </si>
  <si>
    <t>Toms River High School South</t>
  </si>
  <si>
    <t>Raylman</t>
  </si>
  <si>
    <t>kraylman@trschools.com</t>
  </si>
  <si>
    <t>55 HYERS STREET</t>
  </si>
  <si>
    <t>Toms River Intermediate School East</t>
  </si>
  <si>
    <t>Madigan</t>
  </si>
  <si>
    <t>bmadigan@trschools.com</t>
  </si>
  <si>
    <t>1519 HOOPER AVENUE</t>
  </si>
  <si>
    <t>Toms River Intermediate School North</t>
  </si>
  <si>
    <t>Fronzak</t>
  </si>
  <si>
    <t>lfronzak@trschools.com</t>
  </si>
  <si>
    <t>150 INTERMEDIATE NORTH WAY</t>
  </si>
  <si>
    <t>Toms River Intermediate School South</t>
  </si>
  <si>
    <t>Gluck</t>
  </si>
  <si>
    <t>pgluck@trschools.com</t>
  </si>
  <si>
    <t>1675 PINEWALD ROAD</t>
  </si>
  <si>
    <t>Walnut Street Elementary School</t>
  </si>
  <si>
    <t>rdemarco2@trschools.com</t>
  </si>
  <si>
    <t>60 WALNUT STREET</t>
  </si>
  <si>
    <t>Washington Street Elementary School</t>
  </si>
  <si>
    <t>jryan@trschools.com</t>
  </si>
  <si>
    <t>500 WEST EARL COURT</t>
  </si>
  <si>
    <t>West Dover Elementary School</t>
  </si>
  <si>
    <t>slbrown@trschools.com</t>
  </si>
  <si>
    <t>50 BLUE JAY DRIVE</t>
  </si>
  <si>
    <t>Bloomingdale School District</t>
  </si>
  <si>
    <t>BLOOMINGDALE</t>
  </si>
  <si>
    <t>Walter T. Bergen Middle School</t>
  </si>
  <si>
    <t>Buesser</t>
  </si>
  <si>
    <t>mbuesser@bpsnj.org</t>
  </si>
  <si>
    <t>225 GLENWILD AVENUE</t>
  </si>
  <si>
    <t>Clifton Public School District</t>
  </si>
  <si>
    <t>Christopher Columbus Middle School</t>
  </si>
  <si>
    <t>Gaba</t>
  </si>
  <si>
    <t>vgaba@cliftonschools.net</t>
  </si>
  <si>
    <t>350 PIAGET AVENUE</t>
  </si>
  <si>
    <t>Clifton High School</t>
  </si>
  <si>
    <t>Hamdeh</t>
  </si>
  <si>
    <t>ahamdeh@cliftonschools.net</t>
  </si>
  <si>
    <t>333 COLFAX AVENUE</t>
  </si>
  <si>
    <t>School #11</t>
  </si>
  <si>
    <t>Dalia</t>
  </si>
  <si>
    <t>Shalaby</t>
  </si>
  <si>
    <t>dshalaby@cliftonschools.net</t>
  </si>
  <si>
    <t>147 MERSELIS AVENUE</t>
  </si>
  <si>
    <t>School #13</t>
  </si>
  <si>
    <t>Capizzi</t>
  </si>
  <si>
    <t>rcapizzi@cliftonschools.net</t>
  </si>
  <si>
    <t>782 VAN HOUTEN AVENUE</t>
  </si>
  <si>
    <t>School #16</t>
  </si>
  <si>
    <t>Juarbe</t>
  </si>
  <si>
    <t>jjuarbe@cliftonschools.net</t>
  </si>
  <si>
    <t>755 GROVE STREET</t>
  </si>
  <si>
    <t>School #2</t>
  </si>
  <si>
    <t>Magdelena</t>
  </si>
  <si>
    <t>Wojtylo</t>
  </si>
  <si>
    <t>mwojtylo@cliftonschools.net</t>
  </si>
  <si>
    <t>1270 VAN HOUTEN AVENUE</t>
  </si>
  <si>
    <t>Habedank</t>
  </si>
  <si>
    <t>jhabedank@cliftonschools.net</t>
  </si>
  <si>
    <t>365 WASHINGTON AVENUE</t>
  </si>
  <si>
    <t>Ronnie</t>
  </si>
  <si>
    <t>Estrict</t>
  </si>
  <si>
    <t>restrict@cliftonschoolsnet</t>
  </si>
  <si>
    <t>194 WEST SECOND STREET</t>
  </si>
  <si>
    <t>School #8</t>
  </si>
  <si>
    <t>Munoz</t>
  </si>
  <si>
    <t>wmunoz@cliftonschools.net</t>
  </si>
  <si>
    <t>41 OAK STREET</t>
  </si>
  <si>
    <t>School #9</t>
  </si>
  <si>
    <t>Joelle</t>
  </si>
  <si>
    <t>jrosetti@cliftonschools.net</t>
  </si>
  <si>
    <t>25 BRIGHTON ROAD</t>
  </si>
  <si>
    <t>Jaeger</t>
  </si>
  <si>
    <t>ajaeger@cliftonschools.net</t>
  </si>
  <si>
    <t>1400 VAN HOUTEN AVENUE</t>
  </si>
  <si>
    <t>HALEDON</t>
  </si>
  <si>
    <t>Hawthorne Public School District</t>
  </si>
  <si>
    <t>Hawthorne High School</t>
  </si>
  <si>
    <t>Pfister</t>
  </si>
  <si>
    <t>kpfister@hawthorne.k12.nj.us</t>
  </si>
  <si>
    <t>160 PARMELEE AVENUE</t>
  </si>
  <si>
    <t>HAWTHORNE</t>
  </si>
  <si>
    <t>Devor</t>
  </si>
  <si>
    <t>edevor@hawthorne.k12.nj.us</t>
  </si>
  <si>
    <t>230 HAWTHORNE AVENUE</t>
  </si>
  <si>
    <t>Droske</t>
  </si>
  <si>
    <t>sdroske@hawthorne.k12.nj.us</t>
  </si>
  <si>
    <t>233 GOFFLE HILL ROAD</t>
  </si>
  <si>
    <t>Lakeland Regional High School District</t>
  </si>
  <si>
    <t>Lakeland Regional High School</t>
  </si>
  <si>
    <t>Hugh</t>
  </si>
  <si>
    <t>Beattie</t>
  </si>
  <si>
    <t>hbeattie@lakeland.k12.nj.us</t>
  </si>
  <si>
    <t>205 CONKLINTOWN ROAD</t>
  </si>
  <si>
    <t>WANAQUE</t>
  </si>
  <si>
    <t>Little Falls Township Public School District</t>
  </si>
  <si>
    <t>Little Falls Township Public School # 1</t>
  </si>
  <si>
    <t>dsprague@lfschools.org</t>
  </si>
  <si>
    <t>Little Falls School # 1</t>
  </si>
  <si>
    <t>LITTLE FALLS</t>
  </si>
  <si>
    <t>Little Falls Township Public School # 3</t>
  </si>
  <si>
    <t>Elba</t>
  </si>
  <si>
    <t>Castrovinci</t>
  </si>
  <si>
    <t>ecastrovinci@lfschools.org</t>
  </si>
  <si>
    <t>Little Falls School # 3</t>
  </si>
  <si>
    <t>North Haledon School District</t>
  </si>
  <si>
    <t>High Mountain School</t>
  </si>
  <si>
    <t>Escalante</t>
  </si>
  <si>
    <t>mescalante@nhschools.net</t>
  </si>
  <si>
    <t>515 HIGH MOUNTAIN ROAD</t>
  </si>
  <si>
    <t>NORTH HALEDON</t>
  </si>
  <si>
    <t>Northern Region Educational Services Commission</t>
  </si>
  <si>
    <t>Hope Academy</t>
  </si>
  <si>
    <t>Margaritis-Gettleman</t>
  </si>
  <si>
    <t>mmargaritis@nresc.org</t>
  </si>
  <si>
    <t>266 Harrison Street</t>
  </si>
  <si>
    <t>Passaic City School District</t>
  </si>
  <si>
    <t>Daniel F. Ryan Elementary School No. 19</t>
  </si>
  <si>
    <t>Fawzi</t>
  </si>
  <si>
    <t>Naji</t>
  </si>
  <si>
    <t>fnaji@passaicschools.org</t>
  </si>
  <si>
    <t>320 Highland Ave.</t>
  </si>
  <si>
    <t>Ellen Ochoa School Number 22</t>
  </si>
  <si>
    <t>Barker</t>
  </si>
  <si>
    <t>jbarker@passaicschools.org</t>
  </si>
  <si>
    <t>95 Dayton Ave</t>
  </si>
  <si>
    <t>Mahatma Gandhi School Number 25</t>
  </si>
  <si>
    <t>Leandra</t>
  </si>
  <si>
    <t>Ragone</t>
  </si>
  <si>
    <t>leragone@Passaicschools.org</t>
  </si>
  <si>
    <t>64 Parker Ave</t>
  </si>
  <si>
    <t>Muhammad Ali School Number 23</t>
  </si>
  <si>
    <t>Malleo Stahl</t>
  </si>
  <si>
    <t>comalleo@passaicschools.org</t>
  </si>
  <si>
    <t>63 Dayton Ave</t>
  </si>
  <si>
    <t>Passaic Academy for Science and Engineering</t>
  </si>
  <si>
    <t>Ningel</t>
  </si>
  <si>
    <t>Bhuta</t>
  </si>
  <si>
    <t>nbhuta@passaicschools.org</t>
  </si>
  <si>
    <t>291 Lafayette Avenue</t>
  </si>
  <si>
    <t>Passaic Gifted and Talented Academy School No. 20</t>
  </si>
  <si>
    <t>Mellody</t>
  </si>
  <si>
    <t>jmellody@passaicschools.org</t>
  </si>
  <si>
    <t>19 Henry Street</t>
  </si>
  <si>
    <t>Passaic High School No. 12</t>
  </si>
  <si>
    <t>Jose</t>
  </si>
  <si>
    <t>Blankey-Celis</t>
  </si>
  <si>
    <t>jblankley-celis@passaicschools.org</t>
  </si>
  <si>
    <t>170 Paulison Ave.</t>
  </si>
  <si>
    <t>Passaic Preparatory Academy</t>
  </si>
  <si>
    <t>sbruce@passaicschools.org</t>
  </si>
  <si>
    <t>252 Boulevard</t>
  </si>
  <si>
    <t>Sonia Sotomayor School #21</t>
  </si>
  <si>
    <t>tcrockett@passaicschools.org</t>
  </si>
  <si>
    <t>225 Madison Street</t>
  </si>
  <si>
    <t>Theodore Roosevelt School No. 10</t>
  </si>
  <si>
    <t>Barbosa</t>
  </si>
  <si>
    <t>lbarbosa@passaicschools.org</t>
  </si>
  <si>
    <t>151 Harrison St.</t>
  </si>
  <si>
    <t>Thomas Jefferson School No. 1</t>
  </si>
  <si>
    <t>Ambar</t>
  </si>
  <si>
    <t>avargas@passaicschools.org</t>
  </si>
  <si>
    <t>390 Van Houten Ave.</t>
  </si>
  <si>
    <t>William B. Cruise Memorial School No. 11</t>
  </si>
  <si>
    <t>Matos</t>
  </si>
  <si>
    <t>omatos@passaicschools.org</t>
  </si>
  <si>
    <t>390 Gregory Ave.</t>
  </si>
  <si>
    <t>Passaic County Manchester Regional High School District</t>
  </si>
  <si>
    <t>Passaic County-Manchester Regional High School</t>
  </si>
  <si>
    <t>Ercolani</t>
  </si>
  <si>
    <t>jercolani@mrhs.net</t>
  </si>
  <si>
    <t>70 CHURCH STREET</t>
  </si>
  <si>
    <t>Passaic County Technical-Vocational School District</t>
  </si>
  <si>
    <t>Passaic County Technical Institute</t>
  </si>
  <si>
    <t>angarcia@pcti.tec.nj.us</t>
  </si>
  <si>
    <t>45 REINHARDT ROAD</t>
  </si>
  <si>
    <t>WAYNE</t>
  </si>
  <si>
    <t>Passaic County Technical Institute STEM Academy</t>
  </si>
  <si>
    <t>Joaquim</t>
  </si>
  <si>
    <t>jjohnson@pcti.tec.nj.us</t>
  </si>
  <si>
    <t>45 Reinhardt Road</t>
  </si>
  <si>
    <t>Passaic Valley Regional High School District</t>
  </si>
  <si>
    <t>Passaic Valley Regional High School</t>
  </si>
  <si>
    <t>Voorhis</t>
  </si>
  <si>
    <t>voorhisk@pvrhs.org</t>
  </si>
  <si>
    <t>100 EAST MAIN STREET</t>
  </si>
  <si>
    <t>Paterson Public School District</t>
  </si>
  <si>
    <t>Alexander Hamilton Academy</t>
  </si>
  <si>
    <t>Cosmo</t>
  </si>
  <si>
    <t>Braico</t>
  </si>
  <si>
    <t>cbraico@paterson.k12.nj.us</t>
  </si>
  <si>
    <t>11-27 16TH AVENUE</t>
  </si>
  <si>
    <t>Alternative High School</t>
  </si>
  <si>
    <t>Payne</t>
  </si>
  <si>
    <t>npayne@paterson.k12.nj.us</t>
  </si>
  <si>
    <t>350 MARKET STREET</t>
  </si>
  <si>
    <t>Dorothy</t>
  </si>
  <si>
    <t>Douge</t>
  </si>
  <si>
    <t>ddouge@paterson.k12.nj.us</t>
  </si>
  <si>
    <t>150 PARK AVENUE</t>
  </si>
  <si>
    <t>Correa</t>
  </si>
  <si>
    <t>International High School</t>
  </si>
  <si>
    <t>Forfia-Dion</t>
  </si>
  <si>
    <t>cforfia@paterson.k12.nj.us</t>
  </si>
  <si>
    <t>200 Grand Street</t>
  </si>
  <si>
    <t>John F. Kennedy High School</t>
  </si>
  <si>
    <t>JoAnne</t>
  </si>
  <si>
    <t>Riviello</t>
  </si>
  <si>
    <t>jriviello@paterson.k12.nj.us</t>
  </si>
  <si>
    <t>61-127 PREAKNESS AVENUE</t>
  </si>
  <si>
    <t>Joseph A. Taub School</t>
  </si>
  <si>
    <t>Ventura</t>
  </si>
  <si>
    <t>jventura@paterson.k12.nj.us</t>
  </si>
  <si>
    <t>202 UNION AVENUE</t>
  </si>
  <si>
    <t>New Roberto Clemente</t>
  </si>
  <si>
    <t>Sham</t>
  </si>
  <si>
    <t>Bacchus</t>
  </si>
  <si>
    <t>sbacchus@paterson.k12.nj.us</t>
  </si>
  <si>
    <t>482-506 MARKET STREET</t>
  </si>
  <si>
    <t>Newcomers High School</t>
  </si>
  <si>
    <t>Miguel</t>
  </si>
  <si>
    <t>Sosa</t>
  </si>
  <si>
    <t>msosa@paterson.k12.nj.us</t>
  </si>
  <si>
    <t>151 Ellison Street</t>
  </si>
  <si>
    <t>Norman S. Weir</t>
  </si>
  <si>
    <t>Giglio</t>
  </si>
  <si>
    <t>ggiglio@paterson.k12.nj.us</t>
  </si>
  <si>
    <t>152 COLLEGE BOULEVARD</t>
  </si>
  <si>
    <t>Fields</t>
  </si>
  <si>
    <t>Paterson P-TECH High School</t>
  </si>
  <si>
    <t>Charla</t>
  </si>
  <si>
    <t>Holder</t>
  </si>
  <si>
    <t>cholder@paterson.k12.nj.us</t>
  </si>
  <si>
    <t>201 MEMORIAL DRIVE</t>
  </si>
  <si>
    <t>Paterson STEAM High School</t>
  </si>
  <si>
    <t>Nellista</t>
  </si>
  <si>
    <t>Bess</t>
  </si>
  <si>
    <t>nbess@paterson.k12.nj.us</t>
  </si>
  <si>
    <t>764 11TH AVENUE</t>
  </si>
  <si>
    <t>Derwin</t>
  </si>
  <si>
    <t>dsmith@paterson.k12.nj.us</t>
  </si>
  <si>
    <t>55 CLINTON STREET</t>
  </si>
  <si>
    <t>Roberto Clemente</t>
  </si>
  <si>
    <t>Naveira</t>
  </si>
  <si>
    <t>naveirab@paterson.k12.nj.us</t>
  </si>
  <si>
    <t>434 ROSA PARKS BLVD</t>
  </si>
  <si>
    <t>Rosa L. Parks School of Fine and Performing Arts</t>
  </si>
  <si>
    <t>nthompson@paterson.k12.nj.us</t>
  </si>
  <si>
    <t>413 12TH AVENUE</t>
  </si>
  <si>
    <t>School 1</t>
  </si>
  <si>
    <t>Barca</t>
  </si>
  <si>
    <t>jbarca@paterson.k12.nj.us</t>
  </si>
  <si>
    <t>1 EAST 32ND STREET</t>
  </si>
  <si>
    <t>School 10</t>
  </si>
  <si>
    <t>Lolita</t>
  </si>
  <si>
    <t>Vaughan</t>
  </si>
  <si>
    <t>lvaughan@paterson.k12.nj.us</t>
  </si>
  <si>
    <t>48 MERCER STREET</t>
  </si>
  <si>
    <t>School 12</t>
  </si>
  <si>
    <t>Boblyn</t>
  </si>
  <si>
    <t>Ranger-Dobbs</t>
  </si>
  <si>
    <t>bdobbs@paterson.k12.nj.us</t>
  </si>
  <si>
    <t>121 NORTH SECOND STREET</t>
  </si>
  <si>
    <t>School 13</t>
  </si>
  <si>
    <t>Booker</t>
  </si>
  <si>
    <t>nbooker@paterson.k12.nj.us</t>
  </si>
  <si>
    <t>690 EAST 23RD ST</t>
  </si>
  <si>
    <t>School 18</t>
  </si>
  <si>
    <t>Deyanira</t>
  </si>
  <si>
    <t>dpagan@paterson.k12.nj.us</t>
  </si>
  <si>
    <t>51 E  18TH STREET</t>
  </si>
  <si>
    <t>School 19</t>
  </si>
  <si>
    <t>Dewitt</t>
  </si>
  <si>
    <t>Evering</t>
  </si>
  <si>
    <t>devering@paterson.k12.nj.us</t>
  </si>
  <si>
    <t>31 JAMES STREET</t>
  </si>
  <si>
    <t>School 2</t>
  </si>
  <si>
    <t>Serrano</t>
  </si>
  <si>
    <t>vserrano@paterson.k12.nj.us</t>
  </si>
  <si>
    <t>22 PASSAIC STREET</t>
  </si>
  <si>
    <t>School 20</t>
  </si>
  <si>
    <t>mhill@paterson.k12.nj.us</t>
  </si>
  <si>
    <t>500 EAST 37TH STREET</t>
  </si>
  <si>
    <t>Castro</t>
  </si>
  <si>
    <t>School 3</t>
  </si>
  <si>
    <t>jcorrrea@paterson.k12.nj.us</t>
  </si>
  <si>
    <t>448 MAIN STREET</t>
  </si>
  <si>
    <t>Johan</t>
  </si>
  <si>
    <t>School 5</t>
  </si>
  <si>
    <t>Cecala</t>
  </si>
  <si>
    <t>rcecala@paterson.k12.nj.us</t>
  </si>
  <si>
    <t>430 TOTOWA AVENUE</t>
  </si>
  <si>
    <t>School 7</t>
  </si>
  <si>
    <t>ppowell@paterson.k12.nj.us</t>
  </si>
  <si>
    <t>106 RAMSEY STREET</t>
  </si>
  <si>
    <t>School 8</t>
  </si>
  <si>
    <t>srodriguez@paterson.k12.nj.us</t>
  </si>
  <si>
    <t>35 CHADWICK STREET</t>
  </si>
  <si>
    <t>Senator Frank Lautenberg School</t>
  </si>
  <si>
    <t>Althea</t>
  </si>
  <si>
    <t>abrown@paterson.k12.nj.us</t>
  </si>
  <si>
    <t>137 CARROLL STREET</t>
  </si>
  <si>
    <t>Students Transitioning and Achieving Real Success</t>
  </si>
  <si>
    <t>764 11th Ave</t>
  </si>
  <si>
    <t>Medley</t>
  </si>
  <si>
    <t>mmedley@paterson.k12.nj.us</t>
  </si>
  <si>
    <t>45 Smith Street</t>
  </si>
  <si>
    <t>Pompton Lakes School District</t>
  </si>
  <si>
    <t>Lakeside School</t>
  </si>
  <si>
    <t>Herninko</t>
  </si>
  <si>
    <t>jherninko@plps.org</t>
  </si>
  <si>
    <t>316 LAKESIDE AVENUE</t>
  </si>
  <si>
    <t>POMPTON LAKES</t>
  </si>
  <si>
    <t>Lenox School</t>
  </si>
  <si>
    <t>mmccarthy@plps.org</t>
  </si>
  <si>
    <t>35 LENOX AVENUE</t>
  </si>
  <si>
    <t>Renne</t>
  </si>
  <si>
    <t>mrenne@plps.org</t>
  </si>
  <si>
    <t>40 MILL STREET</t>
  </si>
  <si>
    <t>Pompton Lakes High School</t>
  </si>
  <si>
    <t>swisniewski@plps.org</t>
  </si>
  <si>
    <t>44 LAKESIDE AVENUE</t>
  </si>
  <si>
    <t>Prospect Park Public School District</t>
  </si>
  <si>
    <t>Prospect Park Middle School</t>
  </si>
  <si>
    <t>dmurphy@prospectparknj.com</t>
  </si>
  <si>
    <t>13 Wagaraw Bvd</t>
  </si>
  <si>
    <t>Prospect Park</t>
  </si>
  <si>
    <t>Ringwood School District</t>
  </si>
  <si>
    <t>Eleanor G. Hewitt</t>
  </si>
  <si>
    <t>Leonard</t>
  </si>
  <si>
    <t>leonardc@njrps.org</t>
  </si>
  <si>
    <t>266 SLOATSBURG ROAD</t>
  </si>
  <si>
    <t>RINGWOOD</t>
  </si>
  <si>
    <t>Martin J. Ryerson School</t>
  </si>
  <si>
    <t>Waxman</t>
  </si>
  <si>
    <t>waxmand@njrps.org</t>
  </si>
  <si>
    <t>130 VALLEY ROAD</t>
  </si>
  <si>
    <t>Peter Cooper School</t>
  </si>
  <si>
    <t>johnsont@njrps.org</t>
  </si>
  <si>
    <t>54 ROGER COURT</t>
  </si>
  <si>
    <t>Totowa Public School District</t>
  </si>
  <si>
    <t>TOTOWA</t>
  </si>
  <si>
    <t>Washington Park School</t>
  </si>
  <si>
    <t>Bower</t>
  </si>
  <si>
    <t>david.bower@totowa.k12.nj.us</t>
  </si>
  <si>
    <t>10 CREWS STREET</t>
  </si>
  <si>
    <t>Wanaque School District</t>
  </si>
  <si>
    <t>Haskell Elementary School</t>
  </si>
  <si>
    <t>bbiggins@wanaqueps.org</t>
  </si>
  <si>
    <t>973 RINGWOOD AVENUE</t>
  </si>
  <si>
    <t>HASKELL</t>
  </si>
  <si>
    <t>Wayne Township Public School District</t>
  </si>
  <si>
    <t>Albert Payson Terhune Elementary</t>
  </si>
  <si>
    <t>NGRIMSHAW@WAYNESCHOOLS.COM</t>
  </si>
  <si>
    <t>40 GEOFFREY WAY</t>
  </si>
  <si>
    <t>Anthony Wayne Middle School</t>
  </si>
  <si>
    <t>COURTNEY</t>
  </si>
  <si>
    <t>DUIN-SAVASTANO</t>
  </si>
  <si>
    <t>cduinsavastano@wayneschools.com</t>
  </si>
  <si>
    <t>201 GARSIDE AVENUE</t>
  </si>
  <si>
    <t>JACK</t>
  </si>
  <si>
    <t>JLEONARD@WAYNESCHOOLS.COM</t>
  </si>
  <si>
    <t>68 LENOX ROAD</t>
  </si>
  <si>
    <t>James Fallon Elementary School</t>
  </si>
  <si>
    <t>ETHAN</t>
  </si>
  <si>
    <t>MAAYAN</t>
  </si>
  <si>
    <t>emaayan@wayneschools.com</t>
  </si>
  <si>
    <t>51 CLIFFORD DRIVE</t>
  </si>
  <si>
    <t>Lafayette Elementary School</t>
  </si>
  <si>
    <t>MATTHEW</t>
  </si>
  <si>
    <t>KRILEY</t>
  </si>
  <si>
    <t>MKRILEY@WAYNESCHOOLS.COM</t>
  </si>
  <si>
    <t>100 LAAUWE AVENUE</t>
  </si>
  <si>
    <t>Packanack Elementary School</t>
  </si>
  <si>
    <t>KENNETH</t>
  </si>
  <si>
    <t>DOOLITTLE</t>
  </si>
  <si>
    <t>kdoolittle@WAYNESCHOOLS.COM</t>
  </si>
  <si>
    <t>190 OAKWOOD DRIVE</t>
  </si>
  <si>
    <t>Pines Lake Elementary School</t>
  </si>
  <si>
    <t>LYDIA</t>
  </si>
  <si>
    <t>COOPER</t>
  </si>
  <si>
    <t>lcooper@wayneschools.com</t>
  </si>
  <si>
    <t>511 PINES LAKE DRIVE</t>
  </si>
  <si>
    <t>Randall Carter Elementary School</t>
  </si>
  <si>
    <t>KIMBERLY</t>
  </si>
  <si>
    <t>THOMPSON</t>
  </si>
  <si>
    <t>kthompson@wayneschools.com</t>
  </si>
  <si>
    <t>531 ALPS ROAD</t>
  </si>
  <si>
    <t>Ryerson Elementary School</t>
  </si>
  <si>
    <t>DEBORA</t>
  </si>
  <si>
    <t>FOTI</t>
  </si>
  <si>
    <t>DFOTI@WAYNESCHOOLS.COM</t>
  </si>
  <si>
    <t>30 MC CLELLAND AVENUE</t>
  </si>
  <si>
    <t>Schuyler Colfax Middle School</t>
  </si>
  <si>
    <t>HEATHER</t>
  </si>
  <si>
    <t>WEINSTEIN</t>
  </si>
  <si>
    <t>hweinstein@WAYNESCHOOLS.COM</t>
  </si>
  <si>
    <t>1500 HAMBURG TURNPIKE</t>
  </si>
  <si>
    <t>Theunis Dey Elementary School</t>
  </si>
  <si>
    <t>NECOLE</t>
  </si>
  <si>
    <t>JADICK</t>
  </si>
  <si>
    <t>NJADICK@WAYNESCHOOLS.COM</t>
  </si>
  <si>
    <t>55 WEBSTER DRIVE</t>
  </si>
  <si>
    <t>Wayne Hills High School</t>
  </si>
  <si>
    <t>REWICK</t>
  </si>
  <si>
    <t>mrewick@WAYNESCHOOLS.COM</t>
  </si>
  <si>
    <t>272 BERDAN AVENUE</t>
  </si>
  <si>
    <t>Wayne Valley High School</t>
  </si>
  <si>
    <t>PALCZEWSKI</t>
  </si>
  <si>
    <t>KPALCZEWSKI@WAYNESCHOOLS.COM</t>
  </si>
  <si>
    <t>551 VALLEY ROAD</t>
  </si>
  <si>
    <t>West Milford Township Public School District</t>
  </si>
  <si>
    <t>Apshawa Elementary School</t>
  </si>
  <si>
    <t>Swarts</t>
  </si>
  <si>
    <t>dana.swarts@wmtps.org</t>
  </si>
  <si>
    <t>140 HIGH CREST DRIVE</t>
  </si>
  <si>
    <t>WEST MILFORD</t>
  </si>
  <si>
    <t>Macopin Middle School</t>
  </si>
  <si>
    <t>Matlosz</t>
  </si>
  <si>
    <t>greg.matlosz@wmtps.org</t>
  </si>
  <si>
    <t>70 HIGHLANDER DRIVE</t>
  </si>
  <si>
    <t>Helder</t>
  </si>
  <si>
    <t>Marshall Hill Elementary School</t>
  </si>
  <si>
    <t>patrick.odonnell@wmtps.org</t>
  </si>
  <si>
    <t>210 MARSHALL HILL ROAD</t>
  </si>
  <si>
    <t>Paradise Knoll Elementary School</t>
  </si>
  <si>
    <t>jennifer.miller@wmtps.org</t>
  </si>
  <si>
    <t>103 PARADISE ROAD</t>
  </si>
  <si>
    <t>Upper Greenwood Lake Elementary School</t>
  </si>
  <si>
    <t>jared.fowler@wmtps.org</t>
  </si>
  <si>
    <t>41 HENRY ROAD</t>
  </si>
  <si>
    <t>HEWITT</t>
  </si>
  <si>
    <t>West Milford High School</t>
  </si>
  <si>
    <t>Strianse</t>
  </si>
  <si>
    <t>matthew.strianse@wmtps.org</t>
  </si>
  <si>
    <t>67 HIGHLANDER DRIVE</t>
  </si>
  <si>
    <t>Woodland Park School District</t>
  </si>
  <si>
    <t>Beatrice Gilmore School</t>
  </si>
  <si>
    <t>jmastropaolo@wpschools.org</t>
  </si>
  <si>
    <t>1075 MCBRIDE AVENUE</t>
  </si>
  <si>
    <t>Woodland Park</t>
  </si>
  <si>
    <t>Pillari</t>
  </si>
  <si>
    <t>mpillari@wpschools.org</t>
  </si>
  <si>
    <t>15 MEMORIAL DRIVE</t>
  </si>
  <si>
    <t>Elsinboro Township School District</t>
  </si>
  <si>
    <t>Elsinboro Township School</t>
  </si>
  <si>
    <t>Laural</t>
  </si>
  <si>
    <t>Kretzer</t>
  </si>
  <si>
    <t>lkretzer@elsinboroschool.org</t>
  </si>
  <si>
    <t>631 SALEM  FORT ELFSBORG ROAD</t>
  </si>
  <si>
    <t>Penns Grove-Carneys Point Regional School District</t>
  </si>
  <si>
    <t>Field Street School</t>
  </si>
  <si>
    <t>Kwiatkowski</t>
  </si>
  <si>
    <t>mkwiatkowski@pgcpschools.org</t>
  </si>
  <si>
    <t>144 FIELD STREET</t>
  </si>
  <si>
    <t>CARNEYS POINT</t>
  </si>
  <si>
    <t>Dougherty</t>
  </si>
  <si>
    <t>Paul W Carleton</t>
  </si>
  <si>
    <t>Baynes</t>
  </si>
  <si>
    <t>cbaynes@pgcpschool.org</t>
  </si>
  <si>
    <t>251 MAPLE AVENUE</t>
  </si>
  <si>
    <t>PENNS GROVE</t>
  </si>
  <si>
    <t>Penns Grove High School</t>
  </si>
  <si>
    <t>Lory</t>
  </si>
  <si>
    <t>lobrien@pgcpschools.org</t>
  </si>
  <si>
    <t>334 HARDING HIGHWAY</t>
  </si>
  <si>
    <t>Penns Grove Middle School</t>
  </si>
  <si>
    <t>Abner</t>
  </si>
  <si>
    <t>Mendoza</t>
  </si>
  <si>
    <t>amendoza@pgcpschools.org</t>
  </si>
  <si>
    <t>351 MAPLE AVENUE</t>
  </si>
  <si>
    <t>Pennsville School District</t>
  </si>
  <si>
    <t>Central Park Elementary School</t>
  </si>
  <si>
    <t>Hindman</t>
  </si>
  <si>
    <t>shindman@pv-eagles.org</t>
  </si>
  <si>
    <t>43 OLIVER AVE</t>
  </si>
  <si>
    <t>PENNSVILLE</t>
  </si>
  <si>
    <t>Pennsville Memorial High School</t>
  </si>
  <si>
    <t>McFarland</t>
  </si>
  <si>
    <t>mmcfarland@pv-eagles.org</t>
  </si>
  <si>
    <t>110 S  BROADWAY</t>
  </si>
  <si>
    <t>Pennsville Middle School</t>
  </si>
  <si>
    <t>Slusher</t>
  </si>
  <si>
    <t>asluher@pv-eagles.org</t>
  </si>
  <si>
    <t>4 WILLIAM PENN AVENUE</t>
  </si>
  <si>
    <t>Pittsgrove Township School District</t>
  </si>
  <si>
    <t>Arthur P. Schalick High School</t>
  </si>
  <si>
    <t>DuBois Trembley</t>
  </si>
  <si>
    <t>ydubois@pittsgrove.net</t>
  </si>
  <si>
    <t>718 CENTERTON ROAD</t>
  </si>
  <si>
    <t>PITTSGROVE</t>
  </si>
  <si>
    <t>Elmer Elementary School</t>
  </si>
  <si>
    <t>dbruce@pittsgrove.net</t>
  </si>
  <si>
    <t>207 Front Street</t>
  </si>
  <si>
    <t>Olivet Elementary School</t>
  </si>
  <si>
    <t>Tino</t>
  </si>
  <si>
    <t>Monti</t>
  </si>
  <si>
    <t>tmonti@pittsgrove.net</t>
  </si>
  <si>
    <t>235 SHEEP PEN ROAD</t>
  </si>
  <si>
    <t>Pittsgrove Township Middle School</t>
  </si>
  <si>
    <t>adougherty@pittsgrove.net</t>
  </si>
  <si>
    <t>1082 ALMOND ROAD</t>
  </si>
  <si>
    <t>Salem City School District</t>
  </si>
  <si>
    <t>Salem High School</t>
  </si>
  <si>
    <t>Mulhorn</t>
  </si>
  <si>
    <t>mulhorn@salemnj.org</t>
  </si>
  <si>
    <t>219 WALNUT ST</t>
  </si>
  <si>
    <t>Salem Middle School</t>
  </si>
  <si>
    <t>Francois- DeVilme</t>
  </si>
  <si>
    <t>DeVilme@salemnj.org</t>
  </si>
  <si>
    <t>51 NEW MARKET STREET</t>
  </si>
  <si>
    <t>Salem County Special Services School District</t>
  </si>
  <si>
    <t>Cumberland Campus</t>
  </si>
  <si>
    <t>bcummings@scsssd.net</t>
  </si>
  <si>
    <t>13 Ramah Road</t>
  </si>
  <si>
    <t>Gwendolyn</t>
  </si>
  <si>
    <t>Daretown School</t>
  </si>
  <si>
    <t>Cruz-Guy</t>
  </si>
  <si>
    <t>rcruzguy@scsssd.net</t>
  </si>
  <si>
    <t>404 DARETOWN ROAD</t>
  </si>
  <si>
    <t>ELMER</t>
  </si>
  <si>
    <t>WOODSTOWN</t>
  </si>
  <si>
    <t>Salem County Vocational Technical School District</t>
  </si>
  <si>
    <t>Salem County Career and Technical High School</t>
  </si>
  <si>
    <t>jhelder@scvts.org</t>
  </si>
  <si>
    <t>880 Route 45</t>
  </si>
  <si>
    <t>Woodstown-Pilesgrove Regional School District</t>
  </si>
  <si>
    <t>Mary S. Shoemaker School</t>
  </si>
  <si>
    <t>carr.r@woodstown.org</t>
  </si>
  <si>
    <t>MARY S  SHOEMAKER SCHOOL</t>
  </si>
  <si>
    <t>Woodstown High School</t>
  </si>
  <si>
    <t>Senor</t>
  </si>
  <si>
    <t>senor.r@woodstown.org</t>
  </si>
  <si>
    <t>WOODSTOWN HIGH SCHOOL</t>
  </si>
  <si>
    <t>Woodstown Middle School</t>
  </si>
  <si>
    <t>spaventa.m@woodstown.org</t>
  </si>
  <si>
    <t>WOODSTOWN MIDDLE SCHOOL</t>
  </si>
  <si>
    <t>Bernards Township School District</t>
  </si>
  <si>
    <t>Uhler</t>
  </si>
  <si>
    <t>kuhler@bernardsboe.com</t>
  </si>
  <si>
    <t>100 Peachtree Road</t>
  </si>
  <si>
    <t>Basking Ridge</t>
  </si>
  <si>
    <t>Liberty Corner School</t>
  </si>
  <si>
    <t>Oliver</t>
  </si>
  <si>
    <t>joliver@bernardsboe.com</t>
  </si>
  <si>
    <t>61 Church Street</t>
  </si>
  <si>
    <t>Liberty Corner</t>
  </si>
  <si>
    <t>Oak Street School</t>
  </si>
  <si>
    <t>hfoley@bernardsboe.com</t>
  </si>
  <si>
    <t>70 West Oak Street</t>
  </si>
  <si>
    <t>Ridge High School</t>
  </si>
  <si>
    <t>rlazovick@bernardsboe.com</t>
  </si>
  <si>
    <t>268 South Finley Avenue</t>
  </si>
  <si>
    <t>William Annin Middle School</t>
  </si>
  <si>
    <t>Hudock</t>
  </si>
  <si>
    <t>khudock@bernardsboe.com</t>
  </si>
  <si>
    <t>70 Quincy Road</t>
  </si>
  <si>
    <t>Bound Brook School District</t>
  </si>
  <si>
    <t>Bound Brook High School</t>
  </si>
  <si>
    <t>esmith@bbrook.k12.nj.us</t>
  </si>
  <si>
    <t>111 West Union Avenue</t>
  </si>
  <si>
    <t>Bound Brook</t>
  </si>
  <si>
    <t>Santicerma</t>
  </si>
  <si>
    <t>jsanticerma@bbrook.k12.nj.us</t>
  </si>
  <si>
    <t>120 East Second Street</t>
  </si>
  <si>
    <t>Kehayas</t>
  </si>
  <si>
    <t>dkehayas@bbrook.k12.nj.us</t>
  </si>
  <si>
    <t>60 West High Street</t>
  </si>
  <si>
    <t>Smalley Elementary School</t>
  </si>
  <si>
    <t>Winter</t>
  </si>
  <si>
    <t>awinter@bbrook.k12.nj.us</t>
  </si>
  <si>
    <t>163 Cherry Avenue</t>
  </si>
  <si>
    <t>Branchburg Township School District</t>
  </si>
  <si>
    <t>Branchburg Central Middle School</t>
  </si>
  <si>
    <t>Stanton</t>
  </si>
  <si>
    <t>bstanton@branchburg.k12.nj.us</t>
  </si>
  <si>
    <t>220 Baird Road</t>
  </si>
  <si>
    <t>Branchburg</t>
  </si>
  <si>
    <t>Stony Brook School</t>
  </si>
  <si>
    <t>Kries</t>
  </si>
  <si>
    <t>kkries@branchburg.k12.nj.us</t>
  </si>
  <si>
    <t>136 Cedar Grove Road</t>
  </si>
  <si>
    <t>Whiton Elementary School</t>
  </si>
  <si>
    <t>Shober</t>
  </si>
  <si>
    <t>dshober@branchburg.k12.nj.us</t>
  </si>
  <si>
    <t>470 Whiton Road</t>
  </si>
  <si>
    <t>Neshanic Station</t>
  </si>
  <si>
    <t>Bridgewater-Raritan Regional School District</t>
  </si>
  <si>
    <t>Bridgewater</t>
  </si>
  <si>
    <t>Bradley Gardens Primary School</t>
  </si>
  <si>
    <t>Binford</t>
  </si>
  <si>
    <t>bbinford@brrsd.org</t>
  </si>
  <si>
    <t>148 Pine Street</t>
  </si>
  <si>
    <t>Bridgewater-Raritan High School</t>
  </si>
  <si>
    <t>Hemberger</t>
  </si>
  <si>
    <t>dhemberger@brrsd.org</t>
  </si>
  <si>
    <t>600 Garretson Road</t>
  </si>
  <si>
    <t>Bridgewater-Raritan Middle School</t>
  </si>
  <si>
    <t>Corliss</t>
  </si>
  <si>
    <t>mcorliss@brrsd.org</t>
  </si>
  <si>
    <t>128 Merriwood Road</t>
  </si>
  <si>
    <t>Crim Primary School</t>
  </si>
  <si>
    <t>Kelliann</t>
  </si>
  <si>
    <t>TenKate</t>
  </si>
  <si>
    <t>ktenkate@brrsd.org</t>
  </si>
  <si>
    <t>1300 Crim Road</t>
  </si>
  <si>
    <t>Eisenhower Intermediate School</t>
  </si>
  <si>
    <t>Bassett</t>
  </si>
  <si>
    <t>lbassett@brrsd.org</t>
  </si>
  <si>
    <t>791 Eisenhower Avenue</t>
  </si>
  <si>
    <t>Hamilton Primary School</t>
  </si>
  <si>
    <t>Beaumont</t>
  </si>
  <si>
    <t>tbeaumont@brrsd.org</t>
  </si>
  <si>
    <t>9 Hamilton Lane</t>
  </si>
  <si>
    <t>Hillside Intermediate School</t>
  </si>
  <si>
    <t>Tali</t>
  </si>
  <si>
    <t>taxelrod@brrsd.org</t>
  </si>
  <si>
    <t>844 Brown Road</t>
  </si>
  <si>
    <t>John F. Kennedy Primary School</t>
  </si>
  <si>
    <t>Aldo</t>
  </si>
  <si>
    <t>arusso@brrsd.org</t>
  </si>
  <si>
    <t>255 Woodmere Street</t>
  </si>
  <si>
    <t>Raritan</t>
  </si>
  <si>
    <t>Van Holten Primary School</t>
  </si>
  <si>
    <t>Rauh</t>
  </si>
  <si>
    <t>grauh@brrsd.org</t>
  </si>
  <si>
    <t>360 Van Holten Road</t>
  </si>
  <si>
    <t>Franklin Township Public School District</t>
  </si>
  <si>
    <t>Franklin High School</t>
  </si>
  <si>
    <t>nsolomon@franklinboe.org</t>
  </si>
  <si>
    <t>500 Elizabeth Avenue</t>
  </si>
  <si>
    <t>Franklin Middle School at Hamilton Street Campus</t>
  </si>
  <si>
    <t>Nubeja</t>
  </si>
  <si>
    <t>n-allen@franklinboe.org</t>
  </si>
  <si>
    <t>415 Francis Street</t>
  </si>
  <si>
    <t>Franklin Middle School at Sampson G. Smith Campus</t>
  </si>
  <si>
    <t>Rebekah</t>
  </si>
  <si>
    <t>rysolomon@franklinboe.org</t>
  </si>
  <si>
    <t>1649 Amwell Road</t>
  </si>
  <si>
    <t>Lorri</t>
  </si>
  <si>
    <t>lvaccaro@franklinboe.org</t>
  </si>
  <si>
    <t>500 Franklin Blvd</t>
  </si>
  <si>
    <t>Green Brook Township Public School District</t>
  </si>
  <si>
    <t>Green Brook Middle School</t>
  </si>
  <si>
    <t>Subervi</t>
  </si>
  <si>
    <t>asubervi@gbtps.org</t>
  </si>
  <si>
    <t>132 Jefferson Avenue</t>
  </si>
  <si>
    <t>Green Brook</t>
  </si>
  <si>
    <t>Hillsborough Township Public School District</t>
  </si>
  <si>
    <t>Amsterdam Elementary School</t>
  </si>
  <si>
    <t>mfisher@htps.us</t>
  </si>
  <si>
    <t>301 Amsterdam Drive</t>
  </si>
  <si>
    <t>Hillsborough</t>
  </si>
  <si>
    <t>Auten Road Intermediate School</t>
  </si>
  <si>
    <t>ccarey@htps.us</t>
  </si>
  <si>
    <t>281 Auten Road</t>
  </si>
  <si>
    <t>Hillsborough High School</t>
  </si>
  <si>
    <t>DiLollo</t>
  </si>
  <si>
    <t>jdilollo@htps.us</t>
  </si>
  <si>
    <t>466 Raider Boulevard</t>
  </si>
  <si>
    <t>Hillsborough Township Elementary School</t>
  </si>
  <si>
    <t>Eckstein</t>
  </si>
  <si>
    <t>seckstein@htps.us</t>
  </si>
  <si>
    <t>435 Route 206</t>
  </si>
  <si>
    <t>Hillsborough Township Middle School</t>
  </si>
  <si>
    <t>Trybulski</t>
  </si>
  <si>
    <t>jtrybulski@htps.us</t>
  </si>
  <si>
    <t>260 Triangle Road</t>
  </si>
  <si>
    <t>Sunnymead Elementary School</t>
  </si>
  <si>
    <t>tjenkins@htps.us</t>
  </si>
  <si>
    <t>55 Sunnymead Road</t>
  </si>
  <si>
    <t>Woodfern Elementary School</t>
  </si>
  <si>
    <t>Kerrigan</t>
  </si>
  <si>
    <t>skerrigan@htps.us</t>
  </si>
  <si>
    <t>425 Woodfern Road</t>
  </si>
  <si>
    <t>Manville School District</t>
  </si>
  <si>
    <t>Alexander Batcho Intermediate School</t>
  </si>
  <si>
    <t>Magliacano</t>
  </si>
  <si>
    <t>mmagliacano@manvillesd.org</t>
  </si>
  <si>
    <t>100 North 13th Avenue</t>
  </si>
  <si>
    <t>Manville</t>
  </si>
  <si>
    <t>Manville High School</t>
  </si>
  <si>
    <t>awright@manvillesd.org</t>
  </si>
  <si>
    <t>1100 Brooks Boulevard</t>
  </si>
  <si>
    <t>Montgomery Township School District</t>
  </si>
  <si>
    <t>Montgomery High School</t>
  </si>
  <si>
    <t>Pino-Beattie</t>
  </si>
  <si>
    <t>hpino@mtsd.us</t>
  </si>
  <si>
    <t>1016 Route 601</t>
  </si>
  <si>
    <t>Skillman</t>
  </si>
  <si>
    <t>Montgomery Lower Middle School</t>
  </si>
  <si>
    <t>lromano@mtsd.us</t>
  </si>
  <si>
    <t>373 Burnt Hill Road</t>
  </si>
  <si>
    <t>Montgomery Upper Middle School</t>
  </si>
  <si>
    <t>mbarbosa@mtsd.us</t>
  </si>
  <si>
    <t>375 Burnt Hill Road</t>
  </si>
  <si>
    <t>Lacy</t>
  </si>
  <si>
    <t>slacy@mtsd.us</t>
  </si>
  <si>
    <t>100 Main Boulevard</t>
  </si>
  <si>
    <t>North Plainfield School District</t>
  </si>
  <si>
    <t>North Plainfield</t>
  </si>
  <si>
    <t>North Plainfield High School</t>
  </si>
  <si>
    <t>Krouse</t>
  </si>
  <si>
    <t>joseph_krouse@nplainfield.org</t>
  </si>
  <si>
    <t>34 Wilson Avenue</t>
  </si>
  <si>
    <t>North Plainfield Middle School</t>
  </si>
  <si>
    <t>Lake</t>
  </si>
  <si>
    <t>robert_lake@nplainfield.org</t>
  </si>
  <si>
    <t>Somerset School</t>
  </si>
  <si>
    <t>Priscila</t>
  </si>
  <si>
    <t>priscila_weber@nplainfield.org</t>
  </si>
  <si>
    <t>303 Somerset Street</t>
  </si>
  <si>
    <t>Valentina</t>
  </si>
  <si>
    <t>Carleo</t>
  </si>
  <si>
    <t>valentina_carleo@nplainfield.org</t>
  </si>
  <si>
    <t>269 Grove Street</t>
  </si>
  <si>
    <t>Somerset County Educational Services Commission School Distr</t>
  </si>
  <si>
    <t>Somerset Elementary Academy</t>
  </si>
  <si>
    <t>Randy</t>
  </si>
  <si>
    <t>Flaum</t>
  </si>
  <si>
    <t>rflaum@somersetcountyesc.org</t>
  </si>
  <si>
    <t>7 Finderne Ave</t>
  </si>
  <si>
    <t>Somerset Secondary Academy</t>
  </si>
  <si>
    <t>The Career Center of the SCESC</t>
  </si>
  <si>
    <t>amoore@somersetcountyesc.org</t>
  </si>
  <si>
    <t>7 Finderne Avenue</t>
  </si>
  <si>
    <t>Somerset County Vocational and Technical School District</t>
  </si>
  <si>
    <t>Somerset County Vocational Technical High School</t>
  </si>
  <si>
    <t>Montes</t>
  </si>
  <si>
    <t>hmontes@scvts.net</t>
  </si>
  <si>
    <t>14 Vogt Drive</t>
  </si>
  <si>
    <t>Somerset Hills Regional School District</t>
  </si>
  <si>
    <t>Bernards High School</t>
  </si>
  <si>
    <t>Neigel</t>
  </si>
  <si>
    <t>sneigel@shsd.org</t>
  </si>
  <si>
    <t>25 Olcott Avenue</t>
  </si>
  <si>
    <t>Bernardsville</t>
  </si>
  <si>
    <t>Bernardsville Middle School</t>
  </si>
  <si>
    <t>lgarofalo@shsd.org</t>
  </si>
  <si>
    <t>141 Seney Drive</t>
  </si>
  <si>
    <t>Somerville Public School District</t>
  </si>
  <si>
    <t>Somerville High School</t>
  </si>
  <si>
    <t>gfoley@somervilleschools.org</t>
  </si>
  <si>
    <t>222 Davenport Street</t>
  </si>
  <si>
    <t>Somerville Middle School</t>
  </si>
  <si>
    <t>Hade</t>
  </si>
  <si>
    <t>shade@somervilleschools.org</t>
  </si>
  <si>
    <t>51 West Cliff Street</t>
  </si>
  <si>
    <t>South Bound Brook Public School District</t>
  </si>
  <si>
    <t>Robert Morris School</t>
  </si>
  <si>
    <t>Lorise</t>
  </si>
  <si>
    <t>Goeke</t>
  </si>
  <si>
    <t>goeke@southboundbrookk8.org</t>
  </si>
  <si>
    <t>122 Elizabeth Street</t>
  </si>
  <si>
    <t>South Bound Brook</t>
  </si>
  <si>
    <t>Warren Township School District</t>
  </si>
  <si>
    <t>Angelo L. Tomaso School</t>
  </si>
  <si>
    <t>csmith@warrentboe.org</t>
  </si>
  <si>
    <t>46 Washington Valley Road</t>
  </si>
  <si>
    <t>Tugya</t>
  </si>
  <si>
    <t>atugya@warrentboe.org</t>
  </si>
  <si>
    <t>109 Mount Bethel Road</t>
  </si>
  <si>
    <t>Warren Middle School</t>
  </si>
  <si>
    <t>Villar</t>
  </si>
  <si>
    <t>gvillar@warrentboe.org</t>
  </si>
  <si>
    <t>100 Old Stirling Road</t>
  </si>
  <si>
    <t>Heaney</t>
  </si>
  <si>
    <t>jheaney@warrentboe.org</t>
  </si>
  <si>
    <t>114 Stirling Road</t>
  </si>
  <si>
    <t>Watchung Borough School District</t>
  </si>
  <si>
    <t>Watchung</t>
  </si>
  <si>
    <t>Karin</t>
  </si>
  <si>
    <t>Kidd</t>
  </si>
  <si>
    <t>kkidd@watchungschools.us</t>
  </si>
  <si>
    <t>50 Valley View Road</t>
  </si>
  <si>
    <t>Watchung Hills Regional High School District</t>
  </si>
  <si>
    <t>Watchung Hills Regional High School</t>
  </si>
  <si>
    <t>Librera</t>
  </si>
  <si>
    <t>wlibrera@whrhs.org</t>
  </si>
  <si>
    <t>108 Stirling Rd.</t>
  </si>
  <si>
    <t>Andover Regional School District</t>
  </si>
  <si>
    <t>NEWTON</t>
  </si>
  <si>
    <t>Long Pond School</t>
  </si>
  <si>
    <t>bfleming@andoverregional.org</t>
  </si>
  <si>
    <t>707 LIMECREST RD</t>
  </si>
  <si>
    <t>Byram Township School District</t>
  </si>
  <si>
    <t>Byram Intermediate School</t>
  </si>
  <si>
    <t>McCorkle</t>
  </si>
  <si>
    <t>mccorkle.timothy@byramschools.org</t>
  </si>
  <si>
    <t>12 MANSFIELD DRIVE</t>
  </si>
  <si>
    <t>STANHOPE</t>
  </si>
  <si>
    <t>Byram Lakes Elementary School</t>
  </si>
  <si>
    <t>Morris.Peter@byramschools.org</t>
  </si>
  <si>
    <t>11 MANSFIELD DRIVE</t>
  </si>
  <si>
    <t>Frankford Township Consolidated School District</t>
  </si>
  <si>
    <t>Frankford Township School</t>
  </si>
  <si>
    <t>Sylvester</t>
  </si>
  <si>
    <t>sylvesterd@frankfordschool.org</t>
  </si>
  <si>
    <t>4 PINES ROAD</t>
  </si>
  <si>
    <t>BRANCHVILLE</t>
  </si>
  <si>
    <t>HAMBURG</t>
  </si>
  <si>
    <t>Hardyston Township School District</t>
  </si>
  <si>
    <t>Hardyston Township Middle School</t>
  </si>
  <si>
    <t>momara@htps.org</t>
  </si>
  <si>
    <t>183 WHEATSWORTH ROAD</t>
  </si>
  <si>
    <t>High Point Regional High School District</t>
  </si>
  <si>
    <t>Tallamy</t>
  </si>
  <si>
    <t>JTallamy@hpregional.org</t>
  </si>
  <si>
    <t>299 PIDGEON HILL ROAD</t>
  </si>
  <si>
    <t>Hopatcong Borough School District</t>
  </si>
  <si>
    <t>Hopatcong</t>
  </si>
  <si>
    <t>Hopatcong High School</t>
  </si>
  <si>
    <t>smartinez@hopatcongschools.org</t>
  </si>
  <si>
    <t>2A Windsor Ave</t>
  </si>
  <si>
    <t>Hopatcong Middle School</t>
  </si>
  <si>
    <t>Benfatti</t>
  </si>
  <si>
    <t>lbenfatti@hopatcongschools.org</t>
  </si>
  <si>
    <t>1 David Road</t>
  </si>
  <si>
    <t>Tulsa Trail Elementary School</t>
  </si>
  <si>
    <t>bbyrne@hopatcongschools.org</t>
  </si>
  <si>
    <t>2 Tulsa Trail</t>
  </si>
  <si>
    <t>Kittatinny Regional School District</t>
  </si>
  <si>
    <t>Kittatinny Regional High School</t>
  </si>
  <si>
    <t>Bosworth</t>
  </si>
  <si>
    <t>bboswort@krhs.net</t>
  </si>
  <si>
    <t>77 HALSEY ROAD</t>
  </si>
  <si>
    <t>Lenape Valley Regional High School District</t>
  </si>
  <si>
    <t>Lenape Valley Regional High School</t>
  </si>
  <si>
    <t>Reynolds</t>
  </si>
  <si>
    <t>dreynolds@lvhs.org</t>
  </si>
  <si>
    <t>28 SPARTA ROAD</t>
  </si>
  <si>
    <t>Newton Public School District</t>
  </si>
  <si>
    <t>Halsted Middle School</t>
  </si>
  <si>
    <t>scastro@newtonnj.org</t>
  </si>
  <si>
    <t>59 HALSTED STREET</t>
  </si>
  <si>
    <t>Newton High School</t>
  </si>
  <si>
    <t>Jon</t>
  </si>
  <si>
    <t>Deeb</t>
  </si>
  <si>
    <t>jdeeb@newtonnj.org</t>
  </si>
  <si>
    <t>44 RYERSON AVENUE</t>
  </si>
  <si>
    <t>Sparta Township Public School District</t>
  </si>
  <si>
    <t>PETER</t>
  </si>
  <si>
    <t>MILLER</t>
  </si>
  <si>
    <t>peter.miller@sparta.org</t>
  </si>
  <si>
    <t>151 ANDOVER ROAD</t>
  </si>
  <si>
    <t>Mohawk Avenue School</t>
  </si>
  <si>
    <t>Madsen</t>
  </si>
  <si>
    <t>katie.madsen@sparta.org</t>
  </si>
  <si>
    <t>18 Mohawk Avneue</t>
  </si>
  <si>
    <t>Sparta</t>
  </si>
  <si>
    <t>Sparta High School</t>
  </si>
  <si>
    <t>Lazzara</t>
  </si>
  <si>
    <t>edward.lazzara@sparta.org</t>
  </si>
  <si>
    <t>70 WEST MOUNTAIN ROAD</t>
  </si>
  <si>
    <t>Sparta Middle School</t>
  </si>
  <si>
    <t>CIABURRI</t>
  </si>
  <si>
    <t>FRANK.CIABURRI@SPARTA.ORG</t>
  </si>
  <si>
    <t>350 MAIN STREET</t>
  </si>
  <si>
    <t>Sussex County Educational Services Commission</t>
  </si>
  <si>
    <t>Northern Hills Academy</t>
  </si>
  <si>
    <t>kgallagher@sussexesc.org</t>
  </si>
  <si>
    <t>10 GAIL COURT</t>
  </si>
  <si>
    <t>Sussex County Technical School District</t>
  </si>
  <si>
    <t>Sussex County Technical School</t>
  </si>
  <si>
    <t>Gus</t>
  </si>
  <si>
    <t>Modla</t>
  </si>
  <si>
    <t>gmodla@sussex.tec.nj.us</t>
  </si>
  <si>
    <t>105 North Church Road</t>
  </si>
  <si>
    <t>Sussex-Wantage Regional School District</t>
  </si>
  <si>
    <t>Sussex Middle School</t>
  </si>
  <si>
    <t>Shane</t>
  </si>
  <si>
    <t>Schwarz</t>
  </si>
  <si>
    <t>sschwarz@swregional.org</t>
  </si>
  <si>
    <t>10 LOOMIS AVENUE</t>
  </si>
  <si>
    <t>Vernon Township School District</t>
  </si>
  <si>
    <t>Cedar Mountain Primary School</t>
  </si>
  <si>
    <t>Gudenkauf</t>
  </si>
  <si>
    <t>kgudenkauf@vtsd.com</t>
  </si>
  <si>
    <t>17 SAMMIS ROAD</t>
  </si>
  <si>
    <t>VERNON</t>
  </si>
  <si>
    <t>Glen Meadow Middle School</t>
  </si>
  <si>
    <t>Van Orden</t>
  </si>
  <si>
    <t>jvanorden@vtsd.com</t>
  </si>
  <si>
    <t>7 SAMMIS ROAD</t>
  </si>
  <si>
    <t>Lounsberry Hollow School</t>
  </si>
  <si>
    <t>Citro</t>
  </si>
  <si>
    <t>mcitro@vtsd.com</t>
  </si>
  <si>
    <t>30 SAMMIS ROAD</t>
  </si>
  <si>
    <t>Rolling Hills Primary School</t>
  </si>
  <si>
    <t>Pauline</t>
  </si>
  <si>
    <t>panderson@vtsd.com</t>
  </si>
  <si>
    <t>60 SAMMIS ROAD</t>
  </si>
  <si>
    <t>Vernon Township High School</t>
  </si>
  <si>
    <t>LeDuc-Young</t>
  </si>
  <si>
    <t>lleduc@vtsd.com</t>
  </si>
  <si>
    <t>1832 ROUTE 565</t>
  </si>
  <si>
    <t>Wallkill Valley Regional High School</t>
  </si>
  <si>
    <t>dcarr@wallkillvrhs.org</t>
  </si>
  <si>
    <t>10 GRUMM ROAD</t>
  </si>
  <si>
    <t>HARDYSTON TOWNSHIP</t>
  </si>
  <si>
    <t>Berkeley Heights School District</t>
  </si>
  <si>
    <t>Columbia Middle School</t>
  </si>
  <si>
    <t>Kobliska</t>
  </si>
  <si>
    <t>pkobliska@bhpsnj.org</t>
  </si>
  <si>
    <t>345 PLAINFIELD AVE</t>
  </si>
  <si>
    <t>BERKELEY HTS</t>
  </si>
  <si>
    <t>Governor Livingston High School</t>
  </si>
  <si>
    <t>rnixon@bhpsnj.org</t>
  </si>
  <si>
    <t>175 WATCHUNG BOULEVARD</t>
  </si>
  <si>
    <t>BERKELEY HEIGHTS</t>
  </si>
  <si>
    <t>Mary Kay McMillin Early Childhood Center</t>
  </si>
  <si>
    <t>Finley</t>
  </si>
  <si>
    <t>jfinley@bhpsnj.org</t>
  </si>
  <si>
    <t>651 MOUNTAIN AVENUE</t>
  </si>
  <si>
    <t>Mountain Park School</t>
  </si>
  <si>
    <t>Morisseau</t>
  </si>
  <si>
    <t>jmorisseau@bhpsnj.org</t>
  </si>
  <si>
    <t>55 FAIRFAX DR</t>
  </si>
  <si>
    <t>Thomas P. Hughes School</t>
  </si>
  <si>
    <t>Nardi</t>
  </si>
  <si>
    <t>jnardi@bhpsnj.org</t>
  </si>
  <si>
    <t>446 SNYDER AVE</t>
  </si>
  <si>
    <t>William Woodruff School</t>
  </si>
  <si>
    <t>Marley</t>
  </si>
  <si>
    <t>bmarley@bhpsnj.org</t>
  </si>
  <si>
    <t>BRIARWOOD DR WEST</t>
  </si>
  <si>
    <t>Clark Township Public School District</t>
  </si>
  <si>
    <t>Arthur L. Johnson High School</t>
  </si>
  <si>
    <t>toliveira@clarkschools.org</t>
  </si>
  <si>
    <t>365 WESTFIELD AVENUE</t>
  </si>
  <si>
    <t>CLARK</t>
  </si>
  <si>
    <t>Carl H. Kumpf School</t>
  </si>
  <si>
    <t>Delmonaco</t>
  </si>
  <si>
    <t>rdelmonaco@clarkschools.org</t>
  </si>
  <si>
    <t>59 MILDRED TERRACE</t>
  </si>
  <si>
    <t>Shirley</t>
  </si>
  <si>
    <t>Bergin</t>
  </si>
  <si>
    <t>sbergin@clarkschools.org</t>
  </si>
  <si>
    <t>Frank K. Hehnly</t>
  </si>
  <si>
    <t>590 RARITAN ROAD</t>
  </si>
  <si>
    <t>Cranford Public School District</t>
  </si>
  <si>
    <t>Bloomingdale Avenue School</t>
  </si>
  <si>
    <t>Ron</t>
  </si>
  <si>
    <t>Litz</t>
  </si>
  <si>
    <t>litz@cranfordschools.org</t>
  </si>
  <si>
    <t>200 BLOOMINGDALE AVENUE</t>
  </si>
  <si>
    <t>CRANFORD</t>
  </si>
  <si>
    <t>Brookside Place School</t>
  </si>
  <si>
    <t>danna@cranfordschools.org</t>
  </si>
  <si>
    <t>700 BROOKSIDE PLACE</t>
  </si>
  <si>
    <t>Cranford High School</t>
  </si>
  <si>
    <t>Cantagallo</t>
  </si>
  <si>
    <t>cantagallo@cranfordschools.org</t>
  </si>
  <si>
    <t>201 WEST END PLACE</t>
  </si>
  <si>
    <t>Hillside Avenue School</t>
  </si>
  <si>
    <t>Deacon</t>
  </si>
  <si>
    <t>deacon@cranfordschools.org</t>
  </si>
  <si>
    <t>125 HILLSIDE AVENUE</t>
  </si>
  <si>
    <t>Livingston Avenue School</t>
  </si>
  <si>
    <t>Cari</t>
  </si>
  <si>
    <t>lopez.cari@cranfordschools.org</t>
  </si>
  <si>
    <t>75 LIVINGSTON AVENUE</t>
  </si>
  <si>
    <t>Orange Avenue School</t>
  </si>
  <si>
    <t>Lourdes</t>
  </si>
  <si>
    <t>murphy@cranfordschools.org</t>
  </si>
  <si>
    <t>901 ORANGE AVENUE</t>
  </si>
  <si>
    <t>Walnut Avenue School</t>
  </si>
  <si>
    <t>Celine</t>
  </si>
  <si>
    <t>McNally</t>
  </si>
  <si>
    <t>McNally@cranfordschools.org</t>
  </si>
  <si>
    <t>370 WALNUT AVENUE</t>
  </si>
  <si>
    <t>Elizabeth Public Schools</t>
  </si>
  <si>
    <t>Abraham Lincoln School No. 14</t>
  </si>
  <si>
    <t>Matos-Reis</t>
  </si>
  <si>
    <t>matosdi@epsnj.org</t>
  </si>
  <si>
    <t>50 Grove Street</t>
  </si>
  <si>
    <t>Admiral William F. Halsey Jr. Health &amp; Public Safety Academy</t>
  </si>
  <si>
    <t>VanVliet</t>
  </si>
  <si>
    <t>vanvlietch@epsnj.org</t>
  </si>
  <si>
    <t>641 South Street</t>
  </si>
  <si>
    <t>Alexander Hamilton Preparatory Academy</t>
  </si>
  <si>
    <t>Mikros</t>
  </si>
  <si>
    <t>mikrosge@epsnj.org</t>
  </si>
  <si>
    <t>310 Cherry St</t>
  </si>
  <si>
    <t>Benjamin Franklin School No. 13</t>
  </si>
  <si>
    <t>Alina</t>
  </si>
  <si>
    <t>stewaral@epsnj.org</t>
  </si>
  <si>
    <t>248 RIPLEY PL</t>
  </si>
  <si>
    <t>Christopher Columbus School No. 15</t>
  </si>
  <si>
    <t>donahuegi@epsnj.org</t>
  </si>
  <si>
    <t>511 THIRD AVE</t>
  </si>
  <si>
    <t>Elizabeth High School - Frank J Cicarell Academy</t>
  </si>
  <si>
    <t>cumminmi@epsnj.org</t>
  </si>
  <si>
    <t>40 Morrell Street</t>
  </si>
  <si>
    <t>J. Christian Bollwage Finance Academy</t>
  </si>
  <si>
    <t>byrnejo@epsnj.org</t>
  </si>
  <si>
    <t>447 Richmond Street</t>
  </si>
  <si>
    <t>Jerome Dunn Academy No 9</t>
  </si>
  <si>
    <t>Viegas</t>
  </si>
  <si>
    <t>viegascr@epsnj.org</t>
  </si>
  <si>
    <t>125 Third Street</t>
  </si>
  <si>
    <t>John E. Dwyer Technology Academy</t>
  </si>
  <si>
    <t>Sulisnet</t>
  </si>
  <si>
    <t>Jimenez</t>
  </si>
  <si>
    <t>jimenesu@epsnj.org</t>
  </si>
  <si>
    <t>123 Pearl St</t>
  </si>
  <si>
    <t>John Marshal School No. 20</t>
  </si>
  <si>
    <t>Nichol</t>
  </si>
  <si>
    <t>Comas</t>
  </si>
  <si>
    <t>comasni@epsnj.org</t>
  </si>
  <si>
    <t>521 MAGNOLIA AVE</t>
  </si>
  <si>
    <t>Panagopoulos</t>
  </si>
  <si>
    <t>panagoth@epsnj.org</t>
  </si>
  <si>
    <t>237 South Broad Street</t>
  </si>
  <si>
    <t>Nicholas Murray Butler Academy School No. 23</t>
  </si>
  <si>
    <t>Berthenia</t>
  </si>
  <si>
    <t>harmonbe@epsnj.org</t>
  </si>
  <si>
    <t>631-657 Westminster Avenue</t>
  </si>
  <si>
    <t>Nicholas S. Lacorte-Peterstown School No. 3</t>
  </si>
  <si>
    <t>Campel</t>
  </si>
  <si>
    <t>campelje@epsnj.org</t>
  </si>
  <si>
    <t>700 SECOND AVE</t>
  </si>
  <si>
    <t>Robert Morris School No. 18</t>
  </si>
  <si>
    <t>Crespo</t>
  </si>
  <si>
    <t>crespoos@epsnj.org</t>
  </si>
  <si>
    <t>860 CROSS AVE</t>
  </si>
  <si>
    <t>Sonia Sotomayor School No 25</t>
  </si>
  <si>
    <t>silveich@epsnj.org</t>
  </si>
  <si>
    <t>525 FIRST AVENUE</t>
  </si>
  <si>
    <t>Thomas A. Edison Career and Technical Academy</t>
  </si>
  <si>
    <t>Danny</t>
  </si>
  <si>
    <t>ortizda@epsnj.org</t>
  </si>
  <si>
    <t>625 Summer St</t>
  </si>
  <si>
    <t>Thomas Jefferson Arts Academy</t>
  </si>
  <si>
    <t>Mona</t>
  </si>
  <si>
    <t>Wanis</t>
  </si>
  <si>
    <t>wanismo@epsnj.org</t>
  </si>
  <si>
    <t>27 Martin Luther King Jr Plaza</t>
  </si>
  <si>
    <t>iPrep Academy School No 8</t>
  </si>
  <si>
    <t>Roodenburg</t>
  </si>
  <si>
    <t>roodenla@epsnj.org</t>
  </si>
  <si>
    <t>221-227 Court Street</t>
  </si>
  <si>
    <t>Garwood Boro</t>
  </si>
  <si>
    <t>memmons@garwoodschools.org</t>
  </si>
  <si>
    <t>400 SECOND AVENUE</t>
  </si>
  <si>
    <t>GARWOOD</t>
  </si>
  <si>
    <t>Hillside Public School District</t>
  </si>
  <si>
    <t>HILLSIDE</t>
  </si>
  <si>
    <t>Deanna G. Taylor Academy</t>
  </si>
  <si>
    <t>Rahim</t>
  </si>
  <si>
    <t>rgraham@hillsidek12.org</t>
  </si>
  <si>
    <t>614 TILLMAN ST</t>
  </si>
  <si>
    <t>Hillside High School</t>
  </si>
  <si>
    <t>Woolard</t>
  </si>
  <si>
    <t>twoolard@hillsidek12.org</t>
  </si>
  <si>
    <t>1085 LIBERTY AVE</t>
  </si>
  <si>
    <t>Hillside Innovation Academy</t>
  </si>
  <si>
    <t>nsilva@hillsidek12.org</t>
  </si>
  <si>
    <t>195 Virginia St-1100 Woodruff Ave</t>
  </si>
  <si>
    <t>Hillside</t>
  </si>
  <si>
    <t>Hurden Looker Elementary School</t>
  </si>
  <si>
    <t>Daniella</t>
  </si>
  <si>
    <t>dalvarez@hillsidek12.org</t>
  </si>
  <si>
    <t>1261 LIBERTY AVE</t>
  </si>
  <si>
    <t>Ola Edwards Community School</t>
  </si>
  <si>
    <t>Kimley</t>
  </si>
  <si>
    <t>kidavis@hillsidek12.org</t>
  </si>
  <si>
    <t>1530 LESLIE ST</t>
  </si>
  <si>
    <t>Walter O. Krumbiegel Middle School</t>
  </si>
  <si>
    <t>Roy</t>
  </si>
  <si>
    <t>rwilson@hillsidek12.org</t>
  </si>
  <si>
    <t>145 HILLSIDE AVE</t>
  </si>
  <si>
    <t>Kenilworth School District</t>
  </si>
  <si>
    <t>David Brearley Middle/High School</t>
  </si>
  <si>
    <t>Perillo</t>
  </si>
  <si>
    <t>john_perillo@kenilworthschools.com</t>
  </si>
  <si>
    <t>401 Monroe Avenue</t>
  </si>
  <si>
    <t>Kenilworth</t>
  </si>
  <si>
    <t>Warren G. Harding Elementary School</t>
  </si>
  <si>
    <t>Bubnowski</t>
  </si>
  <si>
    <t>ronald_bubnowski@kenilworthschools.com</t>
  </si>
  <si>
    <t>426 Boulevard</t>
  </si>
  <si>
    <t>Linden Public School District</t>
  </si>
  <si>
    <t>Joseph E. Soehl Middle School</t>
  </si>
  <si>
    <t>glong@lindenps.org</t>
  </si>
  <si>
    <t>300 East Henry St.</t>
  </si>
  <si>
    <t>Linden</t>
  </si>
  <si>
    <t>Linden High School</t>
  </si>
  <si>
    <t>Koonce</t>
  </si>
  <si>
    <t>ckoonce@lindenps.org</t>
  </si>
  <si>
    <t>121 West St. Georges Ave.</t>
  </si>
  <si>
    <t>Myles J. McManus MIddle School</t>
  </si>
  <si>
    <t>Mastriano</t>
  </si>
  <si>
    <t>wmastriano@lindenps.org</t>
  </si>
  <si>
    <t>300 Edgewood Road</t>
  </si>
  <si>
    <t>Morris-Union Jointure Commission School District</t>
  </si>
  <si>
    <t>Developmental Learning Center New Providence</t>
  </si>
  <si>
    <t>cbird@mujc.org</t>
  </si>
  <si>
    <t>330 CENTRAL AVENUE</t>
  </si>
  <si>
    <t>NEW PROVIDENCE</t>
  </si>
  <si>
    <t>Developmental Learning Center Warren</t>
  </si>
  <si>
    <t>Marmolejos</t>
  </si>
  <si>
    <t>amarmolejos@mujc.org</t>
  </si>
  <si>
    <t>217 MOUNTAIN VIEW ROAD</t>
  </si>
  <si>
    <t>Mountainside School District</t>
  </si>
  <si>
    <t>Beechwood School</t>
  </si>
  <si>
    <t>Vierschilling</t>
  </si>
  <si>
    <t>jvierschilling@mountainsideschools.org</t>
  </si>
  <si>
    <t>1497 WOODACRES DR</t>
  </si>
  <si>
    <t>MOUNTAINSIDE</t>
  </si>
  <si>
    <t>Deerfield Elementary School</t>
  </si>
  <si>
    <t>Jenks</t>
  </si>
  <si>
    <t>sjenks@mountainsideschools.org</t>
  </si>
  <si>
    <t>302 CENTRAL AVENUE</t>
  </si>
  <si>
    <t>New Providence School District</t>
  </si>
  <si>
    <t>New Providence High School</t>
  </si>
  <si>
    <t>bhenry@npsdnj.org</t>
  </si>
  <si>
    <t>35 PIONEER DR</t>
  </si>
  <si>
    <t>New Providence Middle School</t>
  </si>
  <si>
    <t>35 PIONEER DRIVE</t>
  </si>
  <si>
    <t>Salt Brook School</t>
  </si>
  <si>
    <t>Drexinger</t>
  </si>
  <si>
    <t>jdrexinger@npsdnj.org</t>
  </si>
  <si>
    <t>40 MAPLE ST</t>
  </si>
  <si>
    <t>Plainfield Public School District</t>
  </si>
  <si>
    <t>Cedarbrook Elementary School</t>
  </si>
  <si>
    <t>Tenisha</t>
  </si>
  <si>
    <t>Fort</t>
  </si>
  <si>
    <t>tlfort@plainfield.k12.nj.us</t>
  </si>
  <si>
    <t>1049 CENTRAL AVE</t>
  </si>
  <si>
    <t>Charles H. Stillman Elementary School</t>
  </si>
  <si>
    <t>Noble</t>
  </si>
  <si>
    <t>bnoble@plainfield.k12.nj.us</t>
  </si>
  <si>
    <t>201 W FOURTH ST</t>
  </si>
  <si>
    <t>Charles and Anna Booker Elementary School</t>
  </si>
  <si>
    <t>Juan Pablo</t>
  </si>
  <si>
    <t>jjimenez@plainfield.k12.nj.us</t>
  </si>
  <si>
    <t>730 CENTRAL STREET</t>
  </si>
  <si>
    <t>Aurora</t>
  </si>
  <si>
    <t>ajhill@plainfield.k12.nj.us</t>
  </si>
  <si>
    <t>WEST 4TH ST  AND CLINTON AVE</t>
  </si>
  <si>
    <t>Dewitt D. Barlow Elementary School</t>
  </si>
  <si>
    <t>Aponte</t>
  </si>
  <si>
    <t>waponte@plainfield.k12.nj.us</t>
  </si>
  <si>
    <t>E  FRONT ST &amp; FARRAGUT RD</t>
  </si>
  <si>
    <t>Emerson Community School</t>
  </si>
  <si>
    <t>Dion</t>
  </si>
  <si>
    <t>Roach</t>
  </si>
  <si>
    <t>droach@plainfield.k12.nj.us</t>
  </si>
  <si>
    <t>305 EMERSON AVE</t>
  </si>
  <si>
    <t>Evergreen Elementary School</t>
  </si>
  <si>
    <t>johan.rojas@plainfield.k12.nj.us</t>
  </si>
  <si>
    <t>1033 EVERGREEN AVE</t>
  </si>
  <si>
    <t>Frederic W. Cook Elementary School</t>
  </si>
  <si>
    <t>Caryn</t>
  </si>
  <si>
    <t>ccooper1@plainfield.k12.nj.us</t>
  </si>
  <si>
    <t>739 LELAND AVE</t>
  </si>
  <si>
    <t>Hubbard Middle School</t>
  </si>
  <si>
    <t>orodriguez@plainfield.k12.nj.us</t>
  </si>
  <si>
    <t>661 W EIGHTH ST</t>
  </si>
  <si>
    <t>Telaya</t>
  </si>
  <si>
    <t>Parham</t>
  </si>
  <si>
    <t>tparham@plainfield.k12.nj.us</t>
  </si>
  <si>
    <t>1700 W. FRONT ST</t>
  </si>
  <si>
    <t>Maxson Middle School</t>
  </si>
  <si>
    <t>april.morgan@plainfield.k12.nj.us</t>
  </si>
  <si>
    <t>920 E SEVENTH ST</t>
  </si>
  <si>
    <t>Pinnacle Academy High School</t>
  </si>
  <si>
    <t>Deitria</t>
  </si>
  <si>
    <t>Smith-Snead</t>
  </si>
  <si>
    <t>dvsmith-snead@plainfield.k12.nj.us</t>
  </si>
  <si>
    <t>209 Berckman St</t>
  </si>
  <si>
    <t>Plainfield Academy  For The Arts &amp; Advanced Studies</t>
  </si>
  <si>
    <t>Sneed</t>
  </si>
  <si>
    <t>gsneed@plainfield.k12.nj.us</t>
  </si>
  <si>
    <t>1700 West Front St</t>
  </si>
  <si>
    <t>Plainfield High School</t>
  </si>
  <si>
    <t>Shadin</t>
  </si>
  <si>
    <t>Belal</t>
  </si>
  <si>
    <t>shadin.belal@plainfield.k12.nj.us</t>
  </si>
  <si>
    <t>950 PARK AVENUE</t>
  </si>
  <si>
    <t>Rahway Public School District</t>
  </si>
  <si>
    <t>RAHWAY</t>
  </si>
  <si>
    <t>Rahway High School</t>
  </si>
  <si>
    <t>Cary</t>
  </si>
  <si>
    <t>cfields@rahway.net</t>
  </si>
  <si>
    <t>1012 MADISON AVE</t>
  </si>
  <si>
    <t>Roselle Park Public School District</t>
  </si>
  <si>
    <t>ROSELLE PARK</t>
  </si>
  <si>
    <t>Roselle Park High School</t>
  </si>
  <si>
    <t>scosta@rpsd.org</t>
  </si>
  <si>
    <t>185 W WEBSTER AVE</t>
  </si>
  <si>
    <t>Roselle Park Middle School</t>
  </si>
  <si>
    <t>Queiruga</t>
  </si>
  <si>
    <t>mqueiruga@rpsd.org</t>
  </si>
  <si>
    <t>57 W GRANT AVE</t>
  </si>
  <si>
    <t>Roselle Public School District</t>
  </si>
  <si>
    <t>Abraham Clark High School</t>
  </si>
  <si>
    <t>Andreea</t>
  </si>
  <si>
    <t>aharry@roselleschools.org</t>
  </si>
  <si>
    <t>122 EAST 6TH AVE</t>
  </si>
  <si>
    <t>ROSELLE</t>
  </si>
  <si>
    <t>Grace Wilday Junior High School</t>
  </si>
  <si>
    <t>Ockimey</t>
  </si>
  <si>
    <t>dockimey@roselleschools.org</t>
  </si>
  <si>
    <t>400 BROOKLAWN AVE</t>
  </si>
  <si>
    <t>Nevarez</t>
  </si>
  <si>
    <t>mnevarez@roselleschools.org</t>
  </si>
  <si>
    <t>310 HARRISON AVE</t>
  </si>
  <si>
    <t>Kindergarten Success Academy</t>
  </si>
  <si>
    <t>lgonzalez@roselleschools.org</t>
  </si>
  <si>
    <t>150 EAST 3RD AVENUE</t>
  </si>
  <si>
    <t>Leonard V Moore Middle School</t>
  </si>
  <si>
    <t>Tomeeko</t>
  </si>
  <si>
    <t>Hunt</t>
  </si>
  <si>
    <t>thunt@ROSELLESCHOOLS.ORG</t>
  </si>
  <si>
    <t>720 LOCUST ST</t>
  </si>
  <si>
    <t>JASON</t>
  </si>
  <si>
    <t>Scotch Plains-Fanwood School District</t>
  </si>
  <si>
    <t>Mullman</t>
  </si>
  <si>
    <t>emullman@spfk12.org</t>
  </si>
  <si>
    <t>2280 EVERGREEN AVENUE</t>
  </si>
  <si>
    <t>SCOTCH PLAINS</t>
  </si>
  <si>
    <t>Howard B. Brunner Elementary School</t>
  </si>
  <si>
    <t>Bortnick</t>
  </si>
  <si>
    <t>sbortnick@spfk12.org</t>
  </si>
  <si>
    <t>721 WESTFIELD ROAD</t>
  </si>
  <si>
    <t>J. Ackerman Coles Elementary School</t>
  </si>
  <si>
    <t>Fehte</t>
  </si>
  <si>
    <t>sfehte@spfk12.org</t>
  </si>
  <si>
    <t>16 KEVIN ROAD</t>
  </si>
  <si>
    <t>Malcolm E Nettingham Middle School</t>
  </si>
  <si>
    <t>Dumaresq</t>
  </si>
  <si>
    <t>jdumaresq@spfk12.org</t>
  </si>
  <si>
    <t>580 PARK AVENUE</t>
  </si>
  <si>
    <t>School One Elementary</t>
  </si>
  <si>
    <t>jfiory@spfk12.org</t>
  </si>
  <si>
    <t>563 WILLOW AVENUE</t>
  </si>
  <si>
    <t>Scotch Plains-Fanwood High School</t>
  </si>
  <si>
    <t>Hynes</t>
  </si>
  <si>
    <t>whynes@spfk12.org</t>
  </si>
  <si>
    <t>667 WESTFIELD ROAD</t>
  </si>
  <si>
    <t>Terrill Middle School</t>
  </si>
  <si>
    <t>kholloway@spfk12.org</t>
  </si>
  <si>
    <t>1301 TERRILL ROAD</t>
  </si>
  <si>
    <t>William J. McGinn Elementary School</t>
  </si>
  <si>
    <t>Sasha</t>
  </si>
  <si>
    <t>Slocum</t>
  </si>
  <si>
    <t>sslocum@spfk12.org</t>
  </si>
  <si>
    <t>1100 ROOSEVELT AVENUE</t>
  </si>
  <si>
    <t>Springfield Public School District</t>
  </si>
  <si>
    <t>Springfield</t>
  </si>
  <si>
    <t>Florence M. Gaudineer Middle School</t>
  </si>
  <si>
    <t>Kielty</t>
  </si>
  <si>
    <t>tkielty@springfieldschools.com</t>
  </si>
  <si>
    <t>75 South Springfield Ave.</t>
  </si>
  <si>
    <t>Jonathan Dayton High School</t>
  </si>
  <si>
    <t>Norman</t>
  </si>
  <si>
    <t>nfrancis@springfieldschools.com</t>
  </si>
  <si>
    <t>139 Mountain Ave.</t>
  </si>
  <si>
    <t>Summit Public School District</t>
  </si>
  <si>
    <t>Brayton Elementary School</t>
  </si>
  <si>
    <t>Zeigler</t>
  </si>
  <si>
    <t>szeigler@summit.k12.nj.us</t>
  </si>
  <si>
    <t>89 TULIP STREET</t>
  </si>
  <si>
    <t>SUMMIT</t>
  </si>
  <si>
    <t>Nataly</t>
  </si>
  <si>
    <t>Farias</t>
  </si>
  <si>
    <t>nfarias@summit.k12.nj.us</t>
  </si>
  <si>
    <t>110 ASHWOOD AVENUE</t>
  </si>
  <si>
    <t>Lawton C. Johnson Summit Middle School</t>
  </si>
  <si>
    <t>Ciferni</t>
  </si>
  <si>
    <t>jciferni@summit.k12.nj.us</t>
  </si>
  <si>
    <t>272 MORRIS AVE</t>
  </si>
  <si>
    <t>Lincoln-Hubbard Elementary School</t>
  </si>
  <si>
    <t>Muller</t>
  </si>
  <si>
    <t>lmuller@summit.k12.nj.us</t>
  </si>
  <si>
    <t>52 WOODLAND AVE</t>
  </si>
  <si>
    <t>Primary Center at Jefferson</t>
  </si>
  <si>
    <t>Kozak</t>
  </si>
  <si>
    <t>ekozak@summit.k12.nj.us</t>
  </si>
  <si>
    <t>Summit High School</t>
  </si>
  <si>
    <t>Grimaldi</t>
  </si>
  <si>
    <t>sgrimaldi@summit.k12.nj.us</t>
  </si>
  <si>
    <t>125 KENT PLACE BLVD</t>
  </si>
  <si>
    <t>Township of Union School District</t>
  </si>
  <si>
    <t>Burnet Middle School</t>
  </si>
  <si>
    <t>Kloc</t>
  </si>
  <si>
    <t>bkloc@twpunionschools.org</t>
  </si>
  <si>
    <t>1000 CALDWELL AVENUE</t>
  </si>
  <si>
    <t>Jefferson Elementary</t>
  </si>
  <si>
    <t>Damato</t>
  </si>
  <si>
    <t>ldamato@twpunionschools.org</t>
  </si>
  <si>
    <t>155 HILTON AVENUE</t>
  </si>
  <si>
    <t>Kawameeh Middle School</t>
  </si>
  <si>
    <t>MALANDA</t>
  </si>
  <si>
    <t>JMALANDA@TWPUNIONSCHOOLS.ORG</t>
  </si>
  <si>
    <t>490 DAVID TERRACE</t>
  </si>
  <si>
    <t>Union High School</t>
  </si>
  <si>
    <t>Bossard</t>
  </si>
  <si>
    <t>abossard@twpunionschools.org</t>
  </si>
  <si>
    <t>2350 NORTH THIRD STREET</t>
  </si>
  <si>
    <t>Union County Educational Services Commission</t>
  </si>
  <si>
    <t>WESTFIELD</t>
  </si>
  <si>
    <t>Hillcrest Academy-North</t>
  </si>
  <si>
    <t>Marquet</t>
  </si>
  <si>
    <t>jmarquet@ucesc.org</t>
  </si>
  <si>
    <t>2630 PLAINFIELD AVENUE</t>
  </si>
  <si>
    <t>Hillcrest Academy-South</t>
  </si>
  <si>
    <t>Balsamello</t>
  </si>
  <si>
    <t>jbalsamello@ucesc.org</t>
  </si>
  <si>
    <t>1571 Lamberts Mill Road</t>
  </si>
  <si>
    <t>Lamberts Mill Academy</t>
  </si>
  <si>
    <t>Reed</t>
  </si>
  <si>
    <t>Leibfried</t>
  </si>
  <si>
    <t>rleibfried@ucesc.org</t>
  </si>
  <si>
    <t>1571 LAMBERTS MILL ROAD</t>
  </si>
  <si>
    <t>Westlake</t>
  </si>
  <si>
    <t>Claudine</t>
  </si>
  <si>
    <t>Tantillo</t>
  </si>
  <si>
    <t>ctantillo@ucesc.org</t>
  </si>
  <si>
    <t>1571 Lamberts Mill Rd</t>
  </si>
  <si>
    <t>Westfield</t>
  </si>
  <si>
    <t>Work Readiness Academy</t>
  </si>
  <si>
    <t>Bornstein</t>
  </si>
  <si>
    <t>jbornstein@ucesc.org</t>
  </si>
  <si>
    <t>971 Suburban Road</t>
  </si>
  <si>
    <t>Union</t>
  </si>
  <si>
    <t>Union County Vocational-Technical School District</t>
  </si>
  <si>
    <t>Academy For Allied Health Sciences</t>
  </si>
  <si>
    <t>kdougherty2@ucvts.org</t>
  </si>
  <si>
    <t>1776 RARITAN ROAD</t>
  </si>
  <si>
    <t>Academy For Information Technology</t>
  </si>
  <si>
    <t>DeFrancesco</t>
  </si>
  <si>
    <t>pdefrancesco@ucvts.org</t>
  </si>
  <si>
    <t>Academy For Performing Arts</t>
  </si>
  <si>
    <t>Douglas-Jackson</t>
  </si>
  <si>
    <t>kjackson@ucvts.org</t>
  </si>
  <si>
    <t>Syreeta</t>
  </si>
  <si>
    <t>smcclain@ucvts.org</t>
  </si>
  <si>
    <t>121-125 Chestnut Street</t>
  </si>
  <si>
    <t>Roselle</t>
  </si>
  <si>
    <t>Simon Youth Academy</t>
  </si>
  <si>
    <t>651 Kapkowski Road</t>
  </si>
  <si>
    <t>Union County Career &amp; Technical Institute</t>
  </si>
  <si>
    <t>Tauscher</t>
  </si>
  <si>
    <t>ltauscher@ucvts.org</t>
  </si>
  <si>
    <t>1776 Raritan Road</t>
  </si>
  <si>
    <t>Scotch Plains</t>
  </si>
  <si>
    <t>Union County Magnet High School</t>
  </si>
  <si>
    <t>Mansfield-Smith</t>
  </si>
  <si>
    <t>amansfield@ucvts.org</t>
  </si>
  <si>
    <t>Union County Tech</t>
  </si>
  <si>
    <t>Lerner</t>
  </si>
  <si>
    <t>jlerner@ucvts.org</t>
  </si>
  <si>
    <t>1776 RARITAN RD</t>
  </si>
  <si>
    <t>Westfield Public School District</t>
  </si>
  <si>
    <t>Hung</t>
  </si>
  <si>
    <t>shung@WESTFIELDNJK12.ORG</t>
  </si>
  <si>
    <t>1200 Boulevard</t>
  </si>
  <si>
    <t>Roosevelt Intermediate School</t>
  </si>
  <si>
    <t>Gechtman</t>
  </si>
  <si>
    <t>bgechtman@westfieldnjk12.org</t>
  </si>
  <si>
    <t>301 Clark Street</t>
  </si>
  <si>
    <t>Tamaques Elementary School</t>
  </si>
  <si>
    <t>Duelks</t>
  </si>
  <si>
    <t>dduelks@westfieldnjk12.org</t>
  </si>
  <si>
    <t>641 Willow Grove Road</t>
  </si>
  <si>
    <t>Thomas Edison Intermediate School</t>
  </si>
  <si>
    <t>LaNova</t>
  </si>
  <si>
    <t>Schall</t>
  </si>
  <si>
    <t>lschall@westfieldnjk12.org</t>
  </si>
  <si>
    <t>800 Rahway Avenue</t>
  </si>
  <si>
    <t>Westfield Senior High School</t>
  </si>
  <si>
    <t>Asfendis</t>
  </si>
  <si>
    <t>masfendis@westfieldnjk12.org</t>
  </si>
  <si>
    <t>550 Dorian Road</t>
  </si>
  <si>
    <t>Marsh</t>
  </si>
  <si>
    <t>cmarsh@westfieldnjk12.org</t>
  </si>
  <si>
    <t>301 Linden Avenue</t>
  </si>
  <si>
    <t>Allamuchy Township School District</t>
  </si>
  <si>
    <t>Allamuchy Township School</t>
  </si>
  <si>
    <t>Gallegly</t>
  </si>
  <si>
    <t>jgallegly@aes.k12.nj.us</t>
  </si>
  <si>
    <t>20 JOHNSONBURG ROAD</t>
  </si>
  <si>
    <t>ALLAMUCHY</t>
  </si>
  <si>
    <t>Mountain Villa School</t>
  </si>
  <si>
    <t>Sabol</t>
  </si>
  <si>
    <t>msabol@aes.k12.nj.us</t>
  </si>
  <si>
    <t>1686 County Rt 517</t>
  </si>
  <si>
    <t>Allamuchy</t>
  </si>
  <si>
    <t>Alpha Borough School District</t>
  </si>
  <si>
    <t>Alpha Borough School</t>
  </si>
  <si>
    <t>scohen@apsedu.org</t>
  </si>
  <si>
    <t>817 NORTH BOULEVARD</t>
  </si>
  <si>
    <t>ALPHA</t>
  </si>
  <si>
    <t>Belvidere School District</t>
  </si>
  <si>
    <t>Karabinus</t>
  </si>
  <si>
    <t>ckarabinus@belvideresd.org</t>
  </si>
  <si>
    <t>BELVIDERE</t>
  </si>
  <si>
    <t>Belvidere High School</t>
  </si>
  <si>
    <t>809 OXFORD STREET</t>
  </si>
  <si>
    <t>WASHINGTON</t>
  </si>
  <si>
    <t>Frelinghuysen Township School District</t>
  </si>
  <si>
    <t>Frelinghuysen Township Elementary School</t>
  </si>
  <si>
    <t>Jarlyn</t>
  </si>
  <si>
    <t>Veras</t>
  </si>
  <si>
    <t>bonaparte@frelinghuysenschool.org</t>
  </si>
  <si>
    <t>780 ROUTE 94</t>
  </si>
  <si>
    <t>Newton</t>
  </si>
  <si>
    <t>Great Meadows Regional School District</t>
  </si>
  <si>
    <t>Stiehl</t>
  </si>
  <si>
    <t>astiehl@gmrsd.com</t>
  </si>
  <si>
    <t>281 ROUTE 46</t>
  </si>
  <si>
    <t>GREAT MEADOWS</t>
  </si>
  <si>
    <t>Great Meadows Regional Middle School</t>
  </si>
  <si>
    <t>wflynn@gmrsd.com</t>
  </si>
  <si>
    <t>273 ROUTE 46</t>
  </si>
  <si>
    <t>Greenwich School</t>
  </si>
  <si>
    <t>Nichole</t>
  </si>
  <si>
    <t>Hutnik</t>
  </si>
  <si>
    <t>hutnikn@gtsd.net</t>
  </si>
  <si>
    <t>101 WYNDHAM FARM BOULEVARD</t>
  </si>
  <si>
    <t>STEWARTSVILLE</t>
  </si>
  <si>
    <t>Stewartsville Middle School</t>
  </si>
  <si>
    <t>barrettj@gtsd.net</t>
  </si>
  <si>
    <t>642 SOUTH MAIN STREET</t>
  </si>
  <si>
    <t>Hackettstown Public School District</t>
  </si>
  <si>
    <t>Hackettstown High School</t>
  </si>
  <si>
    <t>Sosnovik</t>
  </si>
  <si>
    <t>ksosnovik@hackettstown.org</t>
  </si>
  <si>
    <t>599 Warren Street</t>
  </si>
  <si>
    <t>HACKETTSTOWN</t>
  </si>
  <si>
    <t>Hackettstown Middle School</t>
  </si>
  <si>
    <t>Swaim</t>
  </si>
  <si>
    <t>jswaim@hackettstown.org</t>
  </si>
  <si>
    <t>500 WASHINGTON STREET</t>
  </si>
  <si>
    <t>Willow Grove Elementary School</t>
  </si>
  <si>
    <t>Kurilla</t>
  </si>
  <si>
    <t>lkurilla@hackettstown.org</t>
  </si>
  <si>
    <t>601 WILLOW GROVE STREET</t>
  </si>
  <si>
    <t>Harmony Township School District</t>
  </si>
  <si>
    <t>Harmony Township School</t>
  </si>
  <si>
    <t>Daryle</t>
  </si>
  <si>
    <t>weissd@htesd.org</t>
  </si>
  <si>
    <t>2551 BELVIDERE ROAD</t>
  </si>
  <si>
    <t>PHILLIPSBURG</t>
  </si>
  <si>
    <t>Hope Township School District</t>
  </si>
  <si>
    <t>Hope Township School</t>
  </si>
  <si>
    <t>knewman@hope-elem.org</t>
  </si>
  <si>
    <t>320 JOHNSONBURG ROAD</t>
  </si>
  <si>
    <t>HOPE</t>
  </si>
  <si>
    <t>Knowlton Township School District</t>
  </si>
  <si>
    <t>Knowlton Township Board of Education</t>
  </si>
  <si>
    <t>Jeannine</t>
  </si>
  <si>
    <t>DeFalco</t>
  </si>
  <si>
    <t>defalcoj@knowltonschool.com</t>
  </si>
  <si>
    <t>80 Route 46</t>
  </si>
  <si>
    <t>DELAWARE</t>
  </si>
  <si>
    <t>Lopatcong Township School District</t>
  </si>
  <si>
    <t>Lopatcong Elementary School</t>
  </si>
  <si>
    <t>waynek@lopatsd.org</t>
  </si>
  <si>
    <t>263 ROUTE 57</t>
  </si>
  <si>
    <t>Lopatcong Township Middle School</t>
  </si>
  <si>
    <t>Bonney</t>
  </si>
  <si>
    <t>bonneyr@lopatsd.org</t>
  </si>
  <si>
    <t>321 STONEHENGE DRIVE</t>
  </si>
  <si>
    <t>North Warren Regional</t>
  </si>
  <si>
    <t>North Warren Regional School</t>
  </si>
  <si>
    <t>Carie</t>
  </si>
  <si>
    <t>Norcross-Murphy</t>
  </si>
  <si>
    <t>cmurphy@northwarren.org</t>
  </si>
  <si>
    <t>10 NOE RD</t>
  </si>
  <si>
    <t>Phillipsburg School District</t>
  </si>
  <si>
    <t>Philipsburg Primary School</t>
  </si>
  <si>
    <t>fontana.amy@pburgsd.net</t>
  </si>
  <si>
    <t>1000 Green Street</t>
  </si>
  <si>
    <t>Phillipsburg Elementary School</t>
  </si>
  <si>
    <t>noel.darlene@pburgsd.net</t>
  </si>
  <si>
    <t>525 Warren Street</t>
  </si>
  <si>
    <t>Phillipsburg High School</t>
  </si>
  <si>
    <t>Rovi</t>
  </si>
  <si>
    <t>rovi.kyle@pburgsd.net</t>
  </si>
  <si>
    <t>1 Stateliner Blvd.</t>
  </si>
  <si>
    <t>Phillipsburg Middle School</t>
  </si>
  <si>
    <t>Raffaele</t>
  </si>
  <si>
    <t>LaForgia</t>
  </si>
  <si>
    <t>laforgia.raffaele@pburgsd.net</t>
  </si>
  <si>
    <t>200 Hillcrest Blvd.</t>
  </si>
  <si>
    <t>Warren County Vocational Technical School</t>
  </si>
  <si>
    <t>tierneyj@wctech.org</t>
  </si>
  <si>
    <t>1500 ROUTE 57</t>
  </si>
  <si>
    <t>Warren Hills Regional School District</t>
  </si>
  <si>
    <t>Warren Hills Regional High School</t>
  </si>
  <si>
    <t>Kavcak</t>
  </si>
  <si>
    <t>kavcakc@warrenhills.org</t>
  </si>
  <si>
    <t>41 JACKSON VALLEY ROAD</t>
  </si>
  <si>
    <t>Warren Hills Regional Middle School</t>
  </si>
  <si>
    <t>Remondelli</t>
  </si>
  <si>
    <t>remondellin@warrenhills.org</t>
  </si>
  <si>
    <t>64  66 CARLTON AVENUE</t>
  </si>
  <si>
    <t>Washington Borough School District</t>
  </si>
  <si>
    <t>Washington Memorial Elementary School</t>
  </si>
  <si>
    <t>jenkinse@washboro.org</t>
  </si>
  <si>
    <t>300 WEST STEWART STREET</t>
  </si>
  <si>
    <t>Port Colden School</t>
  </si>
  <si>
    <t>McDonagh</t>
  </si>
  <si>
    <t>jmcdonagh@washtwpsd.org</t>
  </si>
  <si>
    <t>30 PORT COLDEN ROAD</t>
  </si>
  <si>
    <t>Address</t>
  </si>
  <si>
    <t>County</t>
  </si>
  <si>
    <t>Atlantic</t>
  </si>
  <si>
    <t>Bergen</t>
  </si>
  <si>
    <t>Burlington</t>
  </si>
  <si>
    <t>Gloucester</t>
  </si>
  <si>
    <t>Cape May</t>
  </si>
  <si>
    <t>Charters</t>
  </si>
  <si>
    <t>Cumberland</t>
  </si>
  <si>
    <t>Essex</t>
  </si>
  <si>
    <t>Hunterdon</t>
  </si>
  <si>
    <t>Mercer</t>
  </si>
  <si>
    <t>Monmouth</t>
  </si>
  <si>
    <t>Ocean</t>
  </si>
  <si>
    <t>Salem</t>
  </si>
  <si>
    <t>Sussex</t>
  </si>
  <si>
    <t>Prek-K FullDay</t>
  </si>
  <si>
    <t>% Pre-K FullDay</t>
  </si>
  <si>
    <t>Kindergarten Halfday</t>
  </si>
  <si>
    <t>Kindergarten Full Day</t>
  </si>
  <si>
    <t>OKeefe</t>
  </si>
  <si>
    <t>Bobbys Run Elementary School</t>
  </si>
  <si>
    <t>OBrien</t>
  </si>
  <si>
    <t>DAnna</t>
  </si>
  <si>
    <t>DOstilio</t>
  </si>
  <si>
    <t>OConnell</t>
  </si>
  <si>
    <t>Dennis B OBrien Elementary School</t>
  </si>
  <si>
    <t>DAmico</t>
  </si>
  <si>
    <t>OMara</t>
  </si>
  <si>
    <t>Land OPines Elementary School</t>
  </si>
  <si>
    <t>ONeal</t>
  </si>
  <si>
    <t>Peoples Achieve Community Charter School</t>
  </si>
  <si>
    <t>Philips Academy Charter School of Paterson</t>
  </si>
  <si>
    <t>Solve DIppolito Elementary School</t>
  </si>
  <si>
    <t>Young Mens Academy</t>
  </si>
  <si>
    <t>Academy for Mathematics Science and Engineering</t>
  </si>
  <si>
    <t>Camden Prep Inc.</t>
  </si>
  <si>
    <t>Dr. Martin Luther King Jr. Middle School</t>
  </si>
  <si>
    <t>Essex County Donald M. Payne Sr. School of Technology</t>
  </si>
  <si>
    <t>K. Johnson D. Vaughan and M. Jackson STEM Academy</t>
  </si>
  <si>
    <t>KIPP: Cooper Norcross A New Jersey Nonprofit Corporation</t>
  </si>
  <si>
    <t>Mastery Schools of Camden Inc.</t>
  </si>
  <si>
    <t>Raymond J. Lesniak Experience Strength &amp; Hope Recovery HS</t>
  </si>
  <si>
    <t>Rev. Dr. Frank Napier Jr.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</si>
</sst>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16" fillId="0" borderId="10" xfId="0" applyFont="1" applyBorder="1" applyAlignment="1">
      <alignment vertical="top" wrapText="1" shrinkToFit="1"/>
    </xf>
    <xf numFmtId="0" fontId="16" fillId="0" borderId="0" xfId="0" applyFont="1" applyAlignment="1">
      <alignment vertical="top" wrapText="1" shrinkToFit="1"/>
    </xf>
    <xf numFmtId="16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4A86-5B38-4B04-B96E-4F7A4978B42F}">
  <dimension ref="A1:O1681"/>
  <sheetViews>
    <sheetView tabSelected="1" workbookViewId="0">
      <selection activeCell="K10" sqref="K10"/>
    </sheetView>
  </sheetViews>
  <sheetFormatPr defaultRowHeight="14.6" x14ac:dyDescent="0.4"/>
  <cols>
    <col min="1" max="1" width="56.15234375" customWidth="1"/>
    <col min="2" max="2" width="42.69140625" customWidth="1"/>
    <col min="3" max="3" width="29.69140625" customWidth="1"/>
    <col min="4" max="5" width="22.84375" customWidth="1"/>
    <col min="6" max="6" width="11.23046875" customWidth="1"/>
    <col min="7" max="11" width="15.3046875" customWidth="1"/>
    <col min="14" max="14" width="24" customWidth="1"/>
    <col min="15" max="15" width="42.07421875" customWidth="1"/>
  </cols>
  <sheetData>
    <row r="1" spans="1:15" s="3" customFormat="1" ht="43.75" x14ac:dyDescent="0.4">
      <c r="A1" s="2" t="s">
        <v>1</v>
      </c>
      <c r="B1" s="2" t="s">
        <v>0</v>
      </c>
      <c r="C1" s="2" t="s">
        <v>8015</v>
      </c>
      <c r="D1" s="2" t="s">
        <v>6</v>
      </c>
      <c r="E1" s="2" t="s">
        <v>8016</v>
      </c>
      <c r="F1" s="2" t="s">
        <v>7</v>
      </c>
      <c r="G1" s="2" t="s">
        <v>8</v>
      </c>
      <c r="H1" s="2" t="s">
        <v>8031</v>
      </c>
      <c r="I1" s="2" t="s">
        <v>8032</v>
      </c>
      <c r="J1" s="2" t="s">
        <v>8033</v>
      </c>
      <c r="K1" s="2" t="s">
        <v>8034</v>
      </c>
      <c r="L1" s="2" t="s">
        <v>2</v>
      </c>
      <c r="M1" s="2" t="s">
        <v>3</v>
      </c>
      <c r="N1" s="2" t="s">
        <v>4</v>
      </c>
      <c r="O1" s="2" t="s">
        <v>5</v>
      </c>
    </row>
    <row r="2" spans="1:15" x14ac:dyDescent="0.4">
      <c r="A2" s="1" t="s">
        <v>7482</v>
      </c>
      <c r="B2" s="1" t="s">
        <v>7477</v>
      </c>
      <c r="C2" s="1" t="s">
        <v>7485</v>
      </c>
      <c r="D2" s="1" t="s">
        <v>1348</v>
      </c>
      <c r="E2" s="1" t="s">
        <v>7833</v>
      </c>
      <c r="F2" s="1" t="s">
        <v>17</v>
      </c>
      <c r="G2" s="4" t="str">
        <f>"07202"</f>
        <v>07202</v>
      </c>
      <c r="H2" s="1">
        <v>0</v>
      </c>
      <c r="I2" s="1">
        <v>0</v>
      </c>
      <c r="J2" s="1">
        <v>0</v>
      </c>
      <c r="K2" s="1">
        <v>0</v>
      </c>
      <c r="L2" s="1" t="s">
        <v>380</v>
      </c>
      <c r="M2" s="1" t="s">
        <v>7483</v>
      </c>
      <c r="N2" s="1" t="s">
        <v>13</v>
      </c>
      <c r="O2" s="1" t="s">
        <v>7484</v>
      </c>
    </row>
    <row r="3" spans="1:15" x14ac:dyDescent="0.4">
      <c r="A3" s="1" t="s">
        <v>4132</v>
      </c>
      <c r="B3" s="1" t="s">
        <v>4124</v>
      </c>
      <c r="C3" s="1" t="s">
        <v>4133</v>
      </c>
      <c r="D3" s="1" t="s">
        <v>4102</v>
      </c>
      <c r="E3" s="1" t="s">
        <v>8025</v>
      </c>
      <c r="F3" s="1" t="s">
        <v>17</v>
      </c>
      <c r="G3" s="4" t="str">
        <f>"08822"</f>
        <v>08822</v>
      </c>
      <c r="H3" s="1">
        <v>0</v>
      </c>
      <c r="I3" s="1">
        <v>0</v>
      </c>
      <c r="J3" s="1">
        <v>0</v>
      </c>
      <c r="K3" s="1">
        <v>0</v>
      </c>
      <c r="L3" s="1" t="s">
        <v>4126</v>
      </c>
      <c r="M3" s="1" t="s">
        <v>4127</v>
      </c>
      <c r="N3" s="1" t="s">
        <v>129</v>
      </c>
      <c r="O3" s="1" t="s">
        <v>4128</v>
      </c>
    </row>
    <row r="4" spans="1:15" x14ac:dyDescent="0.4">
      <c r="A4" s="1" t="s">
        <v>5356</v>
      </c>
      <c r="B4" s="1" t="s">
        <v>5355</v>
      </c>
      <c r="C4" s="1" t="s">
        <v>5360</v>
      </c>
      <c r="D4" s="1" t="s">
        <v>5361</v>
      </c>
      <c r="E4" s="1" t="s">
        <v>8027</v>
      </c>
      <c r="F4" s="1" t="s">
        <v>17</v>
      </c>
      <c r="G4" s="4" t="str">
        <f>"07740"</f>
        <v>07740</v>
      </c>
      <c r="H4" s="1">
        <v>0</v>
      </c>
      <c r="I4" s="1">
        <v>0</v>
      </c>
      <c r="J4" s="1">
        <v>0</v>
      </c>
      <c r="K4" s="1">
        <v>5</v>
      </c>
      <c r="L4" s="1" t="s">
        <v>5357</v>
      </c>
      <c r="M4" s="1" t="s">
        <v>5358</v>
      </c>
      <c r="N4" s="1" t="s">
        <v>13</v>
      </c>
      <c r="O4" s="1" t="s">
        <v>5359</v>
      </c>
    </row>
    <row r="5" spans="1:15" x14ac:dyDescent="0.4">
      <c r="A5" s="1" t="s">
        <v>1928</v>
      </c>
      <c r="B5" s="1" t="s">
        <v>1927</v>
      </c>
      <c r="C5" s="1" t="s">
        <v>1932</v>
      </c>
      <c r="D5" s="1" t="s">
        <v>1933</v>
      </c>
      <c r="E5" s="1" t="s">
        <v>1909</v>
      </c>
      <c r="F5" s="1" t="s">
        <v>17</v>
      </c>
      <c r="G5" s="4" t="str">
        <f>"08034-3332"</f>
        <v>08034-3332</v>
      </c>
      <c r="H5" s="1">
        <v>0</v>
      </c>
      <c r="I5" s="1">
        <v>0</v>
      </c>
      <c r="J5" s="1">
        <v>0</v>
      </c>
      <c r="K5" s="1">
        <v>78</v>
      </c>
      <c r="L5" s="1" t="s">
        <v>1929</v>
      </c>
      <c r="M5" s="1" t="s">
        <v>1930</v>
      </c>
      <c r="N5" s="1" t="s">
        <v>13</v>
      </c>
      <c r="O5" s="1" t="s">
        <v>1931</v>
      </c>
    </row>
    <row r="6" spans="1:15" x14ac:dyDescent="0.4">
      <c r="A6" s="1" t="s">
        <v>2185</v>
      </c>
      <c r="B6" s="1" t="s">
        <v>2184</v>
      </c>
      <c r="C6" s="1" t="s">
        <v>2188</v>
      </c>
      <c r="D6" s="1" t="s">
        <v>1922</v>
      </c>
      <c r="E6" s="1" t="s">
        <v>1909</v>
      </c>
      <c r="F6" s="1" t="s">
        <v>17</v>
      </c>
      <c r="G6" s="4" t="str">
        <f>"08110"</f>
        <v>08110</v>
      </c>
      <c r="H6" s="1">
        <v>0</v>
      </c>
      <c r="I6" s="1">
        <v>0</v>
      </c>
      <c r="J6" s="1">
        <v>0</v>
      </c>
      <c r="K6" s="1">
        <v>0</v>
      </c>
      <c r="L6" s="1" t="s">
        <v>158</v>
      </c>
      <c r="M6" s="1" t="s">
        <v>2186</v>
      </c>
      <c r="N6" s="1" t="s">
        <v>13</v>
      </c>
      <c r="O6" s="1" t="s">
        <v>2187</v>
      </c>
    </row>
    <row r="7" spans="1:15" x14ac:dyDescent="0.4">
      <c r="A7" s="1" t="s">
        <v>5707</v>
      </c>
      <c r="B7" s="1" t="s">
        <v>5706</v>
      </c>
      <c r="C7" s="1" t="s">
        <v>5710</v>
      </c>
      <c r="D7" s="1" t="s">
        <v>5711</v>
      </c>
      <c r="E7" s="1" t="s">
        <v>1503</v>
      </c>
      <c r="F7" s="1" t="s">
        <v>17</v>
      </c>
      <c r="G7" s="4" t="str">
        <f>"07405"</f>
        <v>07405</v>
      </c>
      <c r="H7" s="1">
        <v>0</v>
      </c>
      <c r="I7" s="1">
        <v>0</v>
      </c>
      <c r="J7" s="1">
        <v>0</v>
      </c>
      <c r="K7" s="1">
        <v>64</v>
      </c>
      <c r="L7" s="1" t="s">
        <v>34</v>
      </c>
      <c r="M7" s="1" t="s">
        <v>5708</v>
      </c>
      <c r="N7" s="1" t="s">
        <v>13</v>
      </c>
      <c r="O7" s="1" t="s">
        <v>5709</v>
      </c>
    </row>
    <row r="8" spans="1:15" x14ac:dyDescent="0.4">
      <c r="A8" s="1" t="s">
        <v>7703</v>
      </c>
      <c r="B8" s="1" t="s">
        <v>7702</v>
      </c>
      <c r="C8" s="1" t="s">
        <v>7706</v>
      </c>
      <c r="D8" s="1" t="s">
        <v>7707</v>
      </c>
      <c r="E8" s="1" t="s">
        <v>7833</v>
      </c>
      <c r="F8" s="1" t="s">
        <v>17</v>
      </c>
      <c r="G8" s="4" t="str">
        <f>"07203-2026"</f>
        <v>07203-2026</v>
      </c>
      <c r="H8" s="1">
        <v>0</v>
      </c>
      <c r="I8" s="1">
        <v>0</v>
      </c>
      <c r="J8" s="1">
        <v>0</v>
      </c>
      <c r="K8" s="1">
        <v>0</v>
      </c>
      <c r="L8" s="1" t="s">
        <v>7704</v>
      </c>
      <c r="M8" s="1" t="s">
        <v>4927</v>
      </c>
      <c r="N8" s="1" t="s">
        <v>13</v>
      </c>
      <c r="O8" s="1" t="s">
        <v>7705</v>
      </c>
    </row>
    <row r="9" spans="1:15" x14ac:dyDescent="0.4">
      <c r="A9" s="1" t="s">
        <v>1328</v>
      </c>
      <c r="B9" s="1" t="s">
        <v>1327</v>
      </c>
      <c r="C9" s="1" t="s">
        <v>1330</v>
      </c>
      <c r="D9" s="1" t="s">
        <v>1331</v>
      </c>
      <c r="E9" s="1" t="s">
        <v>8018</v>
      </c>
      <c r="F9" s="1" t="s">
        <v>17</v>
      </c>
      <c r="G9" s="4" t="str">
        <f>"07481-2822"</f>
        <v>07481-2822</v>
      </c>
      <c r="H9" s="1">
        <v>0</v>
      </c>
      <c r="I9" s="1">
        <v>0</v>
      </c>
      <c r="J9" s="1">
        <v>0</v>
      </c>
      <c r="K9" s="1">
        <v>54</v>
      </c>
      <c r="L9" s="1" t="s">
        <v>632</v>
      </c>
      <c r="M9" s="1" t="s">
        <v>494</v>
      </c>
      <c r="N9" s="1" t="s">
        <v>13</v>
      </c>
      <c r="O9" s="1" t="s">
        <v>1329</v>
      </c>
    </row>
    <row r="10" spans="1:15" x14ac:dyDescent="0.4">
      <c r="A10" s="1" t="s">
        <v>7478</v>
      </c>
      <c r="B10" s="1" t="s">
        <v>7477</v>
      </c>
      <c r="C10" s="1" t="s">
        <v>7481</v>
      </c>
      <c r="D10" s="1" t="s">
        <v>3890</v>
      </c>
      <c r="E10" s="1" t="s">
        <v>7833</v>
      </c>
      <c r="F10" s="1" t="s">
        <v>17</v>
      </c>
      <c r="G10" s="4" t="str">
        <f>"07202-2327"</f>
        <v>07202-2327</v>
      </c>
      <c r="H10" s="1">
        <v>0</v>
      </c>
      <c r="I10" s="1">
        <v>0</v>
      </c>
      <c r="J10" s="1">
        <v>0</v>
      </c>
      <c r="K10" s="1">
        <v>106</v>
      </c>
      <c r="L10" s="1" t="s">
        <v>683</v>
      </c>
      <c r="M10" s="1" t="s">
        <v>7479</v>
      </c>
      <c r="N10" s="1" t="s">
        <v>13</v>
      </c>
      <c r="O10" s="1" t="s">
        <v>7480</v>
      </c>
    </row>
    <row r="11" spans="1:15" x14ac:dyDescent="0.4">
      <c r="A11" s="1" t="s">
        <v>145</v>
      </c>
      <c r="B11" s="1" t="s">
        <v>144</v>
      </c>
      <c r="C11" s="1" t="s">
        <v>148</v>
      </c>
      <c r="D11" s="1" t="s">
        <v>134</v>
      </c>
      <c r="E11" s="1" t="s">
        <v>8017</v>
      </c>
      <c r="F11" s="1" t="s">
        <v>17</v>
      </c>
      <c r="G11" s="4" t="str">
        <f>"08205-9554"</f>
        <v>08205-9554</v>
      </c>
      <c r="H11" s="1">
        <v>0</v>
      </c>
      <c r="I11" s="1">
        <v>0</v>
      </c>
      <c r="J11" s="1">
        <v>0</v>
      </c>
      <c r="K11" s="1">
        <v>0</v>
      </c>
      <c r="L11" s="1" t="s">
        <v>146</v>
      </c>
      <c r="M11" s="1" t="s">
        <v>51</v>
      </c>
      <c r="N11" s="1" t="s">
        <v>13</v>
      </c>
      <c r="O11" s="1" t="s">
        <v>147</v>
      </c>
    </row>
    <row r="12" spans="1:15" x14ac:dyDescent="0.4">
      <c r="A12" s="1" t="s">
        <v>2411</v>
      </c>
      <c r="B12" s="1" t="s">
        <v>2411</v>
      </c>
      <c r="C12" s="1" t="s">
        <v>2414</v>
      </c>
      <c r="D12" s="1" t="s">
        <v>2415</v>
      </c>
      <c r="E12" s="1" t="s">
        <v>8022</v>
      </c>
      <c r="F12" s="1" t="s">
        <v>17</v>
      </c>
      <c r="G12" s="4" t="str">
        <f>"07719"</f>
        <v>07719</v>
      </c>
      <c r="H12" s="1">
        <v>0</v>
      </c>
      <c r="I12" s="1">
        <v>0</v>
      </c>
      <c r="J12" s="1">
        <v>0</v>
      </c>
      <c r="K12" s="1">
        <v>0</v>
      </c>
      <c r="L12" s="1" t="s">
        <v>1579</v>
      </c>
      <c r="M12" s="1" t="s">
        <v>2412</v>
      </c>
      <c r="N12" s="1" t="s">
        <v>91</v>
      </c>
      <c r="O12" s="1" t="s">
        <v>2413</v>
      </c>
    </row>
    <row r="13" spans="1:15" x14ac:dyDescent="0.4">
      <c r="A13" s="1" t="s">
        <v>7835</v>
      </c>
      <c r="B13" s="1" t="s">
        <v>7834</v>
      </c>
      <c r="C13" s="1" t="s">
        <v>7837</v>
      </c>
      <c r="D13" s="1" t="s">
        <v>7728</v>
      </c>
      <c r="E13" s="1" t="s">
        <v>7833</v>
      </c>
      <c r="F13" s="1" t="s">
        <v>17</v>
      </c>
      <c r="G13" s="4" t="str">
        <f>"07076-2997"</f>
        <v>07076-2997</v>
      </c>
      <c r="H13" s="1">
        <v>0</v>
      </c>
      <c r="I13" s="1">
        <v>0</v>
      </c>
      <c r="J13" s="1">
        <v>0</v>
      </c>
      <c r="K13" s="1">
        <v>0</v>
      </c>
      <c r="L13" s="1" t="s">
        <v>11</v>
      </c>
      <c r="M13" s="1" t="s">
        <v>6962</v>
      </c>
      <c r="N13" s="1" t="s">
        <v>13</v>
      </c>
      <c r="O13" s="1" t="s">
        <v>7836</v>
      </c>
    </row>
    <row r="14" spans="1:15" x14ac:dyDescent="0.4">
      <c r="A14" s="1" t="s">
        <v>5926</v>
      </c>
      <c r="B14" s="1" t="s">
        <v>5925</v>
      </c>
      <c r="C14" s="1" t="s">
        <v>5928</v>
      </c>
      <c r="D14" s="1" t="s">
        <v>5929</v>
      </c>
      <c r="E14" s="1" t="s">
        <v>1503</v>
      </c>
      <c r="F14" s="1" t="s">
        <v>17</v>
      </c>
      <c r="G14" s="4" t="str">
        <f>"07438"</f>
        <v>07438</v>
      </c>
      <c r="H14" s="1">
        <v>0</v>
      </c>
      <c r="I14" s="1">
        <v>0</v>
      </c>
      <c r="J14" s="1">
        <v>0</v>
      </c>
      <c r="K14" s="1">
        <v>0</v>
      </c>
      <c r="L14" s="1" t="s">
        <v>153</v>
      </c>
      <c r="M14" s="1" t="s">
        <v>5240</v>
      </c>
      <c r="N14" s="1" t="s">
        <v>91</v>
      </c>
      <c r="O14" s="1" t="s">
        <v>5927</v>
      </c>
    </row>
    <row r="15" spans="1:15" x14ac:dyDescent="0.4">
      <c r="A15" s="1" t="s">
        <v>7838</v>
      </c>
      <c r="B15" s="1" t="s">
        <v>7834</v>
      </c>
      <c r="C15" s="1" t="s">
        <v>7837</v>
      </c>
      <c r="D15" s="1" t="s">
        <v>7728</v>
      </c>
      <c r="E15" s="1" t="s">
        <v>7833</v>
      </c>
      <c r="F15" s="1" t="s">
        <v>17</v>
      </c>
      <c r="G15" s="4" t="str">
        <f>"07076-2997"</f>
        <v>07076-2997</v>
      </c>
      <c r="H15" s="1">
        <v>0</v>
      </c>
      <c r="I15" s="1">
        <v>0</v>
      </c>
      <c r="J15" s="1">
        <v>0</v>
      </c>
      <c r="K15" s="1">
        <v>0</v>
      </c>
      <c r="L15" s="1" t="s">
        <v>563</v>
      </c>
      <c r="M15" s="1" t="s">
        <v>7839</v>
      </c>
      <c r="N15" s="1" t="s">
        <v>13</v>
      </c>
      <c r="O15" s="1" t="s">
        <v>7840</v>
      </c>
    </row>
    <row r="16" spans="1:15" x14ac:dyDescent="0.4">
      <c r="A16" s="1" t="s">
        <v>8050</v>
      </c>
      <c r="B16" s="1" t="s">
        <v>5925</v>
      </c>
      <c r="C16" s="1" t="s">
        <v>5930</v>
      </c>
      <c r="D16" s="1" t="s">
        <v>5931</v>
      </c>
      <c r="E16" s="1" t="s">
        <v>1503</v>
      </c>
      <c r="F16" s="1" t="s">
        <v>17</v>
      </c>
      <c r="G16" s="4" t="str">
        <f>"07866-3799"</f>
        <v>07866-3799</v>
      </c>
      <c r="H16" s="1">
        <v>0</v>
      </c>
      <c r="I16" s="1">
        <v>0</v>
      </c>
      <c r="J16" s="1">
        <v>0</v>
      </c>
      <c r="K16" s="1">
        <v>0</v>
      </c>
      <c r="L16" s="1" t="s">
        <v>153</v>
      </c>
      <c r="M16" s="1" t="s">
        <v>5240</v>
      </c>
      <c r="N16" s="1" t="s">
        <v>923</v>
      </c>
      <c r="O16" s="1" t="s">
        <v>5927</v>
      </c>
    </row>
    <row r="17" spans="1:15" x14ac:dyDescent="0.4">
      <c r="A17" s="1" t="s">
        <v>5932</v>
      </c>
      <c r="B17" s="1" t="s">
        <v>5925</v>
      </c>
      <c r="C17" s="1" t="s">
        <v>5933</v>
      </c>
      <c r="D17" s="1" t="s">
        <v>5934</v>
      </c>
      <c r="E17" s="1" t="s">
        <v>1503</v>
      </c>
      <c r="F17" s="1" t="s">
        <v>17</v>
      </c>
      <c r="G17" s="4" t="str">
        <f>"07866-4099"</f>
        <v>07866-4099</v>
      </c>
      <c r="H17" s="1">
        <v>0</v>
      </c>
      <c r="I17" s="1">
        <v>0</v>
      </c>
      <c r="J17" s="1">
        <v>0</v>
      </c>
      <c r="K17" s="1">
        <v>0</v>
      </c>
      <c r="L17" s="1" t="s">
        <v>153</v>
      </c>
      <c r="M17" s="1" t="s">
        <v>5240</v>
      </c>
      <c r="N17" s="1" t="s">
        <v>91</v>
      </c>
      <c r="O17" s="1" t="s">
        <v>5927</v>
      </c>
    </row>
    <row r="18" spans="1:15" x14ac:dyDescent="0.4">
      <c r="A18" s="1" t="s">
        <v>7841</v>
      </c>
      <c r="B18" s="1" t="s">
        <v>7834</v>
      </c>
      <c r="C18" s="1" t="s">
        <v>7837</v>
      </c>
      <c r="D18" s="1" t="s">
        <v>7728</v>
      </c>
      <c r="E18" s="1" t="s">
        <v>1503</v>
      </c>
      <c r="F18" s="1" t="s">
        <v>17</v>
      </c>
      <c r="G18" s="4" t="str">
        <f>"07076-2997"</f>
        <v>07076-2997</v>
      </c>
      <c r="H18" s="1">
        <v>0</v>
      </c>
      <c r="I18" s="1">
        <v>0</v>
      </c>
      <c r="J18" s="1">
        <v>0</v>
      </c>
      <c r="K18" s="1">
        <v>0</v>
      </c>
      <c r="L18" s="1" t="s">
        <v>28</v>
      </c>
      <c r="M18" s="1" t="s">
        <v>7842</v>
      </c>
      <c r="N18" s="1" t="s">
        <v>13</v>
      </c>
      <c r="O18" s="1" t="s">
        <v>7843</v>
      </c>
    </row>
    <row r="19" spans="1:15" x14ac:dyDescent="0.4">
      <c r="A19" s="1" t="s">
        <v>2417</v>
      </c>
      <c r="B19" s="1" t="s">
        <v>2417</v>
      </c>
      <c r="C19" s="1" t="s">
        <v>2420</v>
      </c>
      <c r="D19" s="1" t="s">
        <v>2421</v>
      </c>
      <c r="E19" s="1" t="s">
        <v>8022</v>
      </c>
      <c r="F19" s="1" t="s">
        <v>17</v>
      </c>
      <c r="G19" s="4" t="str">
        <f>"08861"</f>
        <v>08861</v>
      </c>
      <c r="H19" s="1">
        <v>0</v>
      </c>
      <c r="I19" s="1">
        <v>0</v>
      </c>
      <c r="J19" s="1">
        <v>0</v>
      </c>
      <c r="K19" s="1">
        <v>0</v>
      </c>
      <c r="L19" s="1" t="s">
        <v>563</v>
      </c>
      <c r="M19" s="1" t="s">
        <v>2418</v>
      </c>
      <c r="N19" s="1" t="s">
        <v>1924</v>
      </c>
      <c r="O19" s="1" t="s">
        <v>2419</v>
      </c>
    </row>
    <row r="20" spans="1:15" x14ac:dyDescent="0.4">
      <c r="A20" s="1" t="s">
        <v>3884</v>
      </c>
      <c r="B20" s="1" t="s">
        <v>3883</v>
      </c>
      <c r="C20" s="1" t="s">
        <v>3888</v>
      </c>
      <c r="D20" s="1" t="s">
        <v>2605</v>
      </c>
      <c r="E20" s="1" t="s">
        <v>3646</v>
      </c>
      <c r="F20" s="1" t="s">
        <v>17</v>
      </c>
      <c r="G20" s="4" t="str">
        <f>"07305"</f>
        <v>07305</v>
      </c>
      <c r="H20" s="1">
        <v>0</v>
      </c>
      <c r="I20" s="1">
        <v>0</v>
      </c>
      <c r="J20" s="1">
        <v>0</v>
      </c>
      <c r="K20" s="1">
        <v>0</v>
      </c>
      <c r="L20" s="1" t="s">
        <v>3885</v>
      </c>
      <c r="M20" s="1" t="s">
        <v>3886</v>
      </c>
      <c r="N20" s="1" t="s">
        <v>13</v>
      </c>
      <c r="O20" s="1" t="s">
        <v>3887</v>
      </c>
    </row>
    <row r="21" spans="1:15" x14ac:dyDescent="0.4">
      <c r="A21" s="1" t="s">
        <v>3865</v>
      </c>
      <c r="B21" s="1" t="s">
        <v>3864</v>
      </c>
      <c r="C21" s="1" t="s">
        <v>3868</v>
      </c>
      <c r="D21" s="1" t="s">
        <v>3869</v>
      </c>
      <c r="E21" s="1" t="s">
        <v>3646</v>
      </c>
      <c r="F21" s="1" t="s">
        <v>17</v>
      </c>
      <c r="G21" s="4" t="str">
        <f>"07094-1682"</f>
        <v>07094-1682</v>
      </c>
      <c r="H21" s="1">
        <v>0</v>
      </c>
      <c r="I21" s="1">
        <v>0</v>
      </c>
      <c r="J21" s="1">
        <v>0</v>
      </c>
      <c r="K21" s="1">
        <v>0</v>
      </c>
      <c r="L21" s="1" t="s">
        <v>31</v>
      </c>
      <c r="M21" s="1" t="s">
        <v>3866</v>
      </c>
      <c r="N21" s="1" t="s">
        <v>13</v>
      </c>
      <c r="O21" s="1" t="s">
        <v>3867</v>
      </c>
    </row>
    <row r="22" spans="1:15" x14ac:dyDescent="0.4">
      <c r="A22" s="1" t="s">
        <v>5537</v>
      </c>
      <c r="B22" s="1" t="s">
        <v>5536</v>
      </c>
      <c r="C22" s="1" t="s">
        <v>5540</v>
      </c>
      <c r="D22" s="1" t="s">
        <v>5366</v>
      </c>
      <c r="E22" s="1" t="s">
        <v>8027</v>
      </c>
      <c r="F22" s="1" t="s">
        <v>17</v>
      </c>
      <c r="G22" s="4" t="str">
        <f>"07740"</f>
        <v>07740</v>
      </c>
      <c r="H22" s="1">
        <v>0</v>
      </c>
      <c r="I22" s="1">
        <v>0</v>
      </c>
      <c r="J22" s="1">
        <v>0</v>
      </c>
      <c r="K22" s="1">
        <v>0</v>
      </c>
      <c r="L22" s="1" t="s">
        <v>62</v>
      </c>
      <c r="M22" s="1" t="s">
        <v>5538</v>
      </c>
      <c r="N22" s="1" t="s">
        <v>13</v>
      </c>
      <c r="O22" s="1" t="s">
        <v>5539</v>
      </c>
    </row>
    <row r="23" spans="1:15" x14ac:dyDescent="0.4">
      <c r="A23" s="1" t="s">
        <v>3870</v>
      </c>
      <c r="B23" s="1" t="s">
        <v>3864</v>
      </c>
      <c r="C23" s="1" t="s">
        <v>3873</v>
      </c>
      <c r="D23" s="1" t="s">
        <v>2439</v>
      </c>
      <c r="E23" s="1" t="s">
        <v>3646</v>
      </c>
      <c r="F23" s="1" t="s">
        <v>17</v>
      </c>
      <c r="G23" s="4" t="str">
        <f>"07302-3237"</f>
        <v>07302-3237</v>
      </c>
      <c r="H23" s="1">
        <v>0</v>
      </c>
      <c r="I23" s="1">
        <v>0</v>
      </c>
      <c r="J23" s="1">
        <v>0</v>
      </c>
      <c r="K23" s="1">
        <v>0</v>
      </c>
      <c r="L23" s="1" t="s">
        <v>403</v>
      </c>
      <c r="M23" s="1" t="s">
        <v>3871</v>
      </c>
      <c r="N23" s="1" t="s">
        <v>13</v>
      </c>
      <c r="O23" s="1" t="s">
        <v>3872</v>
      </c>
    </row>
    <row r="24" spans="1:15" x14ac:dyDescent="0.4">
      <c r="A24" s="1" t="s">
        <v>2422</v>
      </c>
      <c r="B24" s="1" t="s">
        <v>2422</v>
      </c>
      <c r="C24" s="1" t="s">
        <v>2426</v>
      </c>
      <c r="D24" s="1" t="s">
        <v>2427</v>
      </c>
      <c r="E24" s="1" t="s">
        <v>8022</v>
      </c>
      <c r="F24" s="1" t="s">
        <v>17</v>
      </c>
      <c r="G24" s="4" t="str">
        <f>"08611"</f>
        <v>08611</v>
      </c>
      <c r="H24" s="1">
        <v>0</v>
      </c>
      <c r="I24" s="1">
        <v>0</v>
      </c>
      <c r="J24" s="1">
        <v>0</v>
      </c>
      <c r="K24" s="1">
        <v>0</v>
      </c>
      <c r="L24" s="1" t="s">
        <v>2423</v>
      </c>
      <c r="M24" s="1" t="s">
        <v>2424</v>
      </c>
      <c r="N24" s="1" t="s">
        <v>13</v>
      </c>
      <c r="O24" s="1" t="s">
        <v>2425</v>
      </c>
    </row>
    <row r="25" spans="1:15" x14ac:dyDescent="0.4">
      <c r="A25" s="1" t="s">
        <v>4809</v>
      </c>
      <c r="B25" s="1" t="s">
        <v>4808</v>
      </c>
      <c r="C25" s="1" t="s">
        <v>4812</v>
      </c>
      <c r="D25" s="1" t="s">
        <v>4813</v>
      </c>
      <c r="E25" s="1" t="s">
        <v>4704</v>
      </c>
      <c r="F25" s="1" t="s">
        <v>17</v>
      </c>
      <c r="G25" s="4" t="str">
        <f>"08857-2320"</f>
        <v>08857-2320</v>
      </c>
      <c r="H25" s="1">
        <v>0</v>
      </c>
      <c r="I25" s="1">
        <v>0</v>
      </c>
      <c r="J25" s="1">
        <v>0</v>
      </c>
      <c r="K25" s="1">
        <v>33</v>
      </c>
      <c r="L25" s="1" t="s">
        <v>62</v>
      </c>
      <c r="M25" s="1" t="s">
        <v>4810</v>
      </c>
      <c r="N25" s="1" t="s">
        <v>13</v>
      </c>
      <c r="O25" s="1" t="s">
        <v>4811</v>
      </c>
    </row>
    <row r="26" spans="1:15" x14ac:dyDescent="0.4">
      <c r="A26" s="1" t="s">
        <v>4236</v>
      </c>
      <c r="B26" s="1" t="s">
        <v>4235</v>
      </c>
      <c r="C26" s="1" t="s">
        <v>4238</v>
      </c>
      <c r="D26" s="1" t="s">
        <v>4239</v>
      </c>
      <c r="E26" s="1" t="s">
        <v>8026</v>
      </c>
      <c r="F26" s="1" t="s">
        <v>17</v>
      </c>
      <c r="G26" s="4" t="str">
        <f>"08610-1426"</f>
        <v>08610-1426</v>
      </c>
      <c r="H26" s="1">
        <v>0</v>
      </c>
      <c r="I26" s="1">
        <v>0</v>
      </c>
      <c r="J26" s="1">
        <v>0</v>
      </c>
      <c r="K26" s="1">
        <v>0</v>
      </c>
      <c r="L26" s="1" t="s">
        <v>3801</v>
      </c>
      <c r="M26" s="1" t="s">
        <v>853</v>
      </c>
      <c r="N26" s="1" t="s">
        <v>13</v>
      </c>
      <c r="O26" s="1" t="s">
        <v>4237</v>
      </c>
    </row>
    <row r="27" spans="1:15" x14ac:dyDescent="0.4">
      <c r="A27" s="1" t="s">
        <v>6858</v>
      </c>
      <c r="B27" s="1" t="s">
        <v>6857</v>
      </c>
      <c r="C27" s="1" t="s">
        <v>6860</v>
      </c>
      <c r="D27" s="1" t="s">
        <v>6682</v>
      </c>
      <c r="E27" s="1" t="s">
        <v>2670</v>
      </c>
      <c r="F27" s="1" t="s">
        <v>17</v>
      </c>
      <c r="G27" s="4" t="str">
        <f>"07470-4029"</f>
        <v>07470-4029</v>
      </c>
      <c r="H27" s="1">
        <v>0</v>
      </c>
      <c r="I27" s="1">
        <v>0</v>
      </c>
      <c r="J27" s="1">
        <v>0</v>
      </c>
      <c r="K27" s="1">
        <v>47</v>
      </c>
      <c r="L27" s="1" t="s">
        <v>842</v>
      </c>
      <c r="M27" s="1" t="s">
        <v>1117</v>
      </c>
      <c r="N27" s="1" t="s">
        <v>13</v>
      </c>
      <c r="O27" s="1" t="s">
        <v>6859</v>
      </c>
    </row>
    <row r="28" spans="1:15" x14ac:dyDescent="0.4">
      <c r="A28" s="1" t="s">
        <v>4040</v>
      </c>
      <c r="B28" s="1" t="s">
        <v>4039</v>
      </c>
      <c r="C28" s="1" t="s">
        <v>4043</v>
      </c>
      <c r="D28" s="1" t="s">
        <v>4044</v>
      </c>
      <c r="E28" s="1" t="s">
        <v>3646</v>
      </c>
      <c r="F28" s="1" t="s">
        <v>17</v>
      </c>
      <c r="G28" s="4" t="str">
        <f>"07093-2318"</f>
        <v>07093-2318</v>
      </c>
      <c r="H28" s="1">
        <v>0</v>
      </c>
      <c r="I28" s="1">
        <v>0</v>
      </c>
      <c r="J28" s="1">
        <v>0</v>
      </c>
      <c r="K28" s="1">
        <v>101</v>
      </c>
      <c r="L28" s="1" t="s">
        <v>488</v>
      </c>
      <c r="M28" s="1" t="s">
        <v>4041</v>
      </c>
      <c r="N28" s="1" t="s">
        <v>13</v>
      </c>
      <c r="O28" s="1" t="s">
        <v>4042</v>
      </c>
    </row>
    <row r="29" spans="1:15" x14ac:dyDescent="0.4">
      <c r="A29" s="1" t="s">
        <v>99</v>
      </c>
      <c r="B29" s="1" t="s">
        <v>98</v>
      </c>
      <c r="C29" s="1" t="s">
        <v>103</v>
      </c>
      <c r="D29" s="1" t="s">
        <v>104</v>
      </c>
      <c r="E29" s="1" t="s">
        <v>8017</v>
      </c>
      <c r="F29" s="1" t="s">
        <v>17</v>
      </c>
      <c r="G29" s="4" t="str">
        <f>"08234-5315"</f>
        <v>08234-5315</v>
      </c>
      <c r="H29" s="1">
        <v>0</v>
      </c>
      <c r="I29" s="1">
        <v>0</v>
      </c>
      <c r="J29" s="1">
        <v>0</v>
      </c>
      <c r="K29" s="1">
        <v>0</v>
      </c>
      <c r="L29" s="1" t="s">
        <v>100</v>
      </c>
      <c r="M29" s="1" t="s">
        <v>101</v>
      </c>
      <c r="N29" s="1" t="s">
        <v>13</v>
      </c>
      <c r="O29" s="1" t="s">
        <v>102</v>
      </c>
    </row>
    <row r="30" spans="1:15" x14ac:dyDescent="0.4">
      <c r="A30" s="1" t="s">
        <v>5298</v>
      </c>
      <c r="B30" s="1" t="s">
        <v>5297</v>
      </c>
      <c r="C30" s="1" t="s">
        <v>5300</v>
      </c>
      <c r="D30" s="1" t="s">
        <v>5301</v>
      </c>
      <c r="E30" s="1" t="s">
        <v>8027</v>
      </c>
      <c r="F30" s="1" t="s">
        <v>17</v>
      </c>
      <c r="G30" s="4" t="str">
        <f>"07731-1936"</f>
        <v>07731-1936</v>
      </c>
      <c r="H30" s="1">
        <v>0</v>
      </c>
      <c r="I30" s="1">
        <v>0</v>
      </c>
      <c r="J30" s="1">
        <v>0</v>
      </c>
      <c r="K30" s="1">
        <v>74</v>
      </c>
      <c r="L30" s="1" t="s">
        <v>836</v>
      </c>
      <c r="M30" s="1" t="s">
        <v>421</v>
      </c>
      <c r="N30" s="1" t="s">
        <v>13</v>
      </c>
      <c r="O30" s="1" t="s">
        <v>5299</v>
      </c>
    </row>
    <row r="31" spans="1:15" x14ac:dyDescent="0.4">
      <c r="A31" s="1" t="s">
        <v>7182</v>
      </c>
      <c r="B31" s="1" t="s">
        <v>7181</v>
      </c>
      <c r="C31" s="1" t="s">
        <v>7185</v>
      </c>
      <c r="D31" s="1" t="s">
        <v>7186</v>
      </c>
      <c r="E31" s="1" t="s">
        <v>2471</v>
      </c>
      <c r="F31" s="1" t="s">
        <v>17</v>
      </c>
      <c r="G31" s="4" t="str">
        <f>"08835"</f>
        <v>08835</v>
      </c>
      <c r="H31" s="1">
        <v>0</v>
      </c>
      <c r="I31" s="1">
        <v>0</v>
      </c>
      <c r="J31" s="1">
        <v>0</v>
      </c>
      <c r="K31" s="1">
        <v>0</v>
      </c>
      <c r="L31" s="1" t="s">
        <v>158</v>
      </c>
      <c r="M31" s="1" t="s">
        <v>7183</v>
      </c>
      <c r="N31" s="1" t="s">
        <v>13</v>
      </c>
      <c r="O31" s="1" t="s">
        <v>7184</v>
      </c>
    </row>
    <row r="32" spans="1:15" x14ac:dyDescent="0.4">
      <c r="A32" s="1" t="s">
        <v>4240</v>
      </c>
      <c r="B32" s="1" t="s">
        <v>4235</v>
      </c>
      <c r="C32" s="1" t="s">
        <v>4243</v>
      </c>
      <c r="D32" s="1" t="s">
        <v>4239</v>
      </c>
      <c r="E32" s="1" t="s">
        <v>8026</v>
      </c>
      <c r="F32" s="1" t="s">
        <v>17</v>
      </c>
      <c r="G32" s="4" t="str">
        <f>"08690-2331"</f>
        <v>08690-2331</v>
      </c>
      <c r="H32" s="1">
        <v>5</v>
      </c>
      <c r="I32" s="1">
        <v>1.7</v>
      </c>
      <c r="J32" s="1">
        <v>0</v>
      </c>
      <c r="K32" s="1">
        <v>44</v>
      </c>
      <c r="L32" s="1" t="s">
        <v>62</v>
      </c>
      <c r="M32" s="1" t="s">
        <v>4241</v>
      </c>
      <c r="N32" s="1" t="s">
        <v>13</v>
      </c>
      <c r="O32" s="1" t="s">
        <v>4242</v>
      </c>
    </row>
    <row r="33" spans="1:15" x14ac:dyDescent="0.4">
      <c r="A33" s="1" t="s">
        <v>5956</v>
      </c>
      <c r="B33" s="1" t="s">
        <v>5955</v>
      </c>
      <c r="C33" s="1" t="s">
        <v>5958</v>
      </c>
      <c r="D33" s="1" t="s">
        <v>2789</v>
      </c>
      <c r="E33" s="1" t="s">
        <v>1503</v>
      </c>
      <c r="F33" s="1" t="s">
        <v>17</v>
      </c>
      <c r="G33" s="4" t="str">
        <f>"07960"</f>
        <v>07960</v>
      </c>
      <c r="H33" s="1">
        <v>0</v>
      </c>
      <c r="I33" s="1">
        <v>0</v>
      </c>
      <c r="J33" s="1">
        <v>0</v>
      </c>
      <c r="K33" s="1">
        <v>0</v>
      </c>
      <c r="L33" s="1" t="s">
        <v>685</v>
      </c>
      <c r="M33" s="1" t="s">
        <v>5903</v>
      </c>
      <c r="N33" s="1" t="s">
        <v>13</v>
      </c>
      <c r="O33" s="1" t="s">
        <v>5957</v>
      </c>
    </row>
    <row r="34" spans="1:15" x14ac:dyDescent="0.4">
      <c r="A34" s="1" t="s">
        <v>6693</v>
      </c>
      <c r="B34" s="1" t="s">
        <v>6692</v>
      </c>
      <c r="C34" s="1" t="s">
        <v>6697</v>
      </c>
      <c r="D34" s="1" t="s">
        <v>2460</v>
      </c>
      <c r="E34" s="1" t="s">
        <v>2670</v>
      </c>
      <c r="F34" s="1" t="s">
        <v>17</v>
      </c>
      <c r="G34" s="4" t="str">
        <f>"07501"</f>
        <v>07501</v>
      </c>
      <c r="H34" s="1">
        <v>0</v>
      </c>
      <c r="I34" s="1">
        <v>0</v>
      </c>
      <c r="J34" s="1">
        <v>0</v>
      </c>
      <c r="K34" s="1">
        <v>47</v>
      </c>
      <c r="L34" s="1" t="s">
        <v>6694</v>
      </c>
      <c r="M34" s="1" t="s">
        <v>6695</v>
      </c>
      <c r="N34" s="1" t="s">
        <v>13</v>
      </c>
      <c r="O34" s="1" t="s">
        <v>6696</v>
      </c>
    </row>
    <row r="35" spans="1:15" x14ac:dyDescent="0.4">
      <c r="A35" s="1" t="s">
        <v>7486</v>
      </c>
      <c r="B35" s="1" t="s">
        <v>7477</v>
      </c>
      <c r="C35" s="1" t="s">
        <v>7489</v>
      </c>
      <c r="D35" s="1" t="s">
        <v>1348</v>
      </c>
      <c r="E35" s="1" t="s">
        <v>7833</v>
      </c>
      <c r="F35" s="1" t="s">
        <v>17</v>
      </c>
      <c r="G35" s="4" t="str">
        <f>"07208"</f>
        <v>07208</v>
      </c>
      <c r="H35" s="1">
        <v>0</v>
      </c>
      <c r="I35" s="1">
        <v>0</v>
      </c>
      <c r="J35" s="1">
        <v>0</v>
      </c>
      <c r="K35" s="1">
        <v>0</v>
      </c>
      <c r="L35" s="1" t="s">
        <v>760</v>
      </c>
      <c r="M35" s="1" t="s">
        <v>7487</v>
      </c>
      <c r="N35" s="1" t="s">
        <v>13</v>
      </c>
      <c r="O35" s="1" t="s">
        <v>7488</v>
      </c>
    </row>
    <row r="36" spans="1:15" x14ac:dyDescent="0.4">
      <c r="A36" s="1" t="s">
        <v>674</v>
      </c>
      <c r="B36" s="1" t="s">
        <v>673</v>
      </c>
      <c r="C36" s="1" t="s">
        <v>677</v>
      </c>
      <c r="D36" s="1" t="s">
        <v>678</v>
      </c>
      <c r="E36" s="1" t="s">
        <v>8018</v>
      </c>
      <c r="F36" s="1" t="s">
        <v>17</v>
      </c>
      <c r="G36" s="4" t="str">
        <f>"07452"</f>
        <v>07452</v>
      </c>
      <c r="H36" s="1">
        <v>0</v>
      </c>
      <c r="I36" s="1">
        <v>0</v>
      </c>
      <c r="J36" s="1">
        <v>0</v>
      </c>
      <c r="K36" s="1">
        <v>42</v>
      </c>
      <c r="L36" s="1" t="s">
        <v>304</v>
      </c>
      <c r="M36" s="1" t="s">
        <v>675</v>
      </c>
      <c r="N36" s="1" t="s">
        <v>13</v>
      </c>
      <c r="O36" s="1" t="s">
        <v>676</v>
      </c>
    </row>
    <row r="37" spans="1:15" x14ac:dyDescent="0.4">
      <c r="A37" s="1" t="s">
        <v>6194</v>
      </c>
      <c r="B37" s="1" t="s">
        <v>6193</v>
      </c>
      <c r="C37" s="1" t="s">
        <v>6197</v>
      </c>
      <c r="D37" s="1" t="s">
        <v>6198</v>
      </c>
      <c r="E37" s="1" t="s">
        <v>1503</v>
      </c>
      <c r="F37" s="1" t="s">
        <v>17</v>
      </c>
      <c r="G37" s="4" t="str">
        <f>"07885-2431"</f>
        <v>07885-2431</v>
      </c>
      <c r="H37" s="1">
        <v>0</v>
      </c>
      <c r="I37" s="1">
        <v>0</v>
      </c>
      <c r="J37" s="1">
        <v>0</v>
      </c>
      <c r="K37" s="1">
        <v>0</v>
      </c>
      <c r="L37" s="1" t="s">
        <v>4663</v>
      </c>
      <c r="M37" s="1" t="s">
        <v>6195</v>
      </c>
      <c r="N37" s="1" t="s">
        <v>13</v>
      </c>
      <c r="O37" s="1" t="s">
        <v>6196</v>
      </c>
    </row>
    <row r="38" spans="1:15" x14ac:dyDescent="0.4">
      <c r="A38" s="1" t="s">
        <v>482</v>
      </c>
      <c r="B38" s="1" t="s">
        <v>481</v>
      </c>
      <c r="C38" s="1" t="s">
        <v>486</v>
      </c>
      <c r="D38" s="1" t="s">
        <v>487</v>
      </c>
      <c r="E38" s="1" t="s">
        <v>8018</v>
      </c>
      <c r="F38" s="1" t="s">
        <v>17</v>
      </c>
      <c r="G38" s="4" t="str">
        <f>"07073"</f>
        <v>07073</v>
      </c>
      <c r="H38" s="1">
        <v>0</v>
      </c>
      <c r="I38" s="1">
        <v>0</v>
      </c>
      <c r="J38" s="1">
        <v>0</v>
      </c>
      <c r="K38" s="1">
        <v>0</v>
      </c>
      <c r="L38" s="1" t="s">
        <v>483</v>
      </c>
      <c r="M38" s="1" t="s">
        <v>484</v>
      </c>
      <c r="N38" s="1" t="s">
        <v>13</v>
      </c>
      <c r="O38" s="1" t="s">
        <v>485</v>
      </c>
    </row>
    <row r="39" spans="1:15" x14ac:dyDescent="0.4">
      <c r="A39" s="1" t="s">
        <v>5959</v>
      </c>
      <c r="B39" s="1" t="s">
        <v>5955</v>
      </c>
      <c r="C39" s="1" t="s">
        <v>5962</v>
      </c>
      <c r="D39" s="1" t="s">
        <v>5802</v>
      </c>
      <c r="E39" s="1" t="s">
        <v>1503</v>
      </c>
      <c r="F39" s="1" t="s">
        <v>17</v>
      </c>
      <c r="G39" s="4" t="str">
        <f>"07950"</f>
        <v>07950</v>
      </c>
      <c r="H39" s="1">
        <v>0</v>
      </c>
      <c r="I39" s="1">
        <v>0</v>
      </c>
      <c r="J39" s="1">
        <v>0</v>
      </c>
      <c r="K39" s="1">
        <v>118</v>
      </c>
      <c r="L39" s="1" t="s">
        <v>1527</v>
      </c>
      <c r="M39" s="1" t="s">
        <v>5960</v>
      </c>
      <c r="N39" s="1" t="s">
        <v>13</v>
      </c>
      <c r="O39" s="1" t="s">
        <v>5961</v>
      </c>
    </row>
    <row r="40" spans="1:15" x14ac:dyDescent="0.4">
      <c r="A40" s="1" t="s">
        <v>7887</v>
      </c>
      <c r="B40" s="1" t="s">
        <v>7886</v>
      </c>
      <c r="C40" s="1" t="s">
        <v>7890</v>
      </c>
      <c r="D40" s="1" t="s">
        <v>7891</v>
      </c>
      <c r="E40" s="1" t="s">
        <v>55</v>
      </c>
      <c r="F40" s="1" t="s">
        <v>17</v>
      </c>
      <c r="G40" s="4" t="str">
        <f>"07820-0394"</f>
        <v>07820-0394</v>
      </c>
      <c r="H40" s="1">
        <v>0</v>
      </c>
      <c r="I40" s="1">
        <v>0</v>
      </c>
      <c r="J40" s="1">
        <v>0</v>
      </c>
      <c r="K40" s="1">
        <v>0</v>
      </c>
      <c r="L40" s="1" t="s">
        <v>38</v>
      </c>
      <c r="M40" s="1" t="s">
        <v>7888</v>
      </c>
      <c r="N40" s="1" t="s">
        <v>13</v>
      </c>
      <c r="O40" s="1" t="s">
        <v>7889</v>
      </c>
    </row>
    <row r="41" spans="1:15" x14ac:dyDescent="0.4">
      <c r="A41" s="1" t="s">
        <v>5662</v>
      </c>
      <c r="B41" s="1" t="s">
        <v>5661</v>
      </c>
      <c r="C41" s="1" t="s">
        <v>5665</v>
      </c>
      <c r="D41" s="1" t="s">
        <v>5666</v>
      </c>
      <c r="E41" s="1" t="s">
        <v>8027</v>
      </c>
      <c r="F41" s="1" t="s">
        <v>17</v>
      </c>
      <c r="G41" s="4" t="str">
        <f>"08501-0278"</f>
        <v>08501-0278</v>
      </c>
      <c r="H41" s="1">
        <v>0</v>
      </c>
      <c r="I41" s="1">
        <v>0</v>
      </c>
      <c r="J41" s="1">
        <v>0</v>
      </c>
      <c r="K41" s="1">
        <v>0</v>
      </c>
      <c r="L41" s="1" t="s">
        <v>4126</v>
      </c>
      <c r="M41" s="1" t="s">
        <v>5663</v>
      </c>
      <c r="N41" s="1" t="s">
        <v>13</v>
      </c>
      <c r="O41" s="1" t="s">
        <v>5664</v>
      </c>
    </row>
    <row r="42" spans="1:15" x14ac:dyDescent="0.4">
      <c r="A42" s="1" t="s">
        <v>5673</v>
      </c>
      <c r="B42" s="1" t="s">
        <v>5672</v>
      </c>
      <c r="C42" s="1" t="s">
        <v>5676</v>
      </c>
      <c r="D42" s="1" t="s">
        <v>5549</v>
      </c>
      <c r="E42" s="1" t="s">
        <v>8027</v>
      </c>
      <c r="F42" s="1" t="s">
        <v>17</v>
      </c>
      <c r="G42" s="4" t="str">
        <f>"07719-1199"</f>
        <v>07719-1199</v>
      </c>
      <c r="H42" s="1">
        <v>0</v>
      </c>
      <c r="I42" s="1">
        <v>0</v>
      </c>
      <c r="J42" s="1">
        <v>0</v>
      </c>
      <c r="K42" s="1">
        <v>58</v>
      </c>
      <c r="L42" s="1" t="s">
        <v>34</v>
      </c>
      <c r="M42" s="1" t="s">
        <v>5674</v>
      </c>
      <c r="N42" s="1" t="s">
        <v>13</v>
      </c>
      <c r="O42" s="1" t="s">
        <v>5675</v>
      </c>
    </row>
    <row r="43" spans="1:15" x14ac:dyDescent="0.4">
      <c r="A43" s="1" t="s">
        <v>7898</v>
      </c>
      <c r="B43" s="1" t="s">
        <v>7897</v>
      </c>
      <c r="C43" s="1" t="s">
        <v>7900</v>
      </c>
      <c r="D43" s="1" t="s">
        <v>7901</v>
      </c>
      <c r="E43" s="1" t="s">
        <v>55</v>
      </c>
      <c r="F43" s="1" t="s">
        <v>17</v>
      </c>
      <c r="G43" s="4" t="str">
        <f>"08865-4245"</f>
        <v>08865-4245</v>
      </c>
      <c r="H43" s="1">
        <v>2</v>
      </c>
      <c r="I43" s="1">
        <v>0.9</v>
      </c>
      <c r="J43" s="1">
        <v>0</v>
      </c>
      <c r="K43" s="1">
        <v>18</v>
      </c>
      <c r="L43" s="1" t="s">
        <v>4094</v>
      </c>
      <c r="M43" s="1" t="s">
        <v>1958</v>
      </c>
      <c r="N43" s="1" t="s">
        <v>129</v>
      </c>
      <c r="O43" s="1" t="s">
        <v>7899</v>
      </c>
    </row>
    <row r="44" spans="1:15" x14ac:dyDescent="0.4">
      <c r="A44" s="1" t="s">
        <v>286</v>
      </c>
      <c r="B44" s="1" t="s">
        <v>285</v>
      </c>
      <c r="C44" s="1" t="s">
        <v>288</v>
      </c>
      <c r="D44" s="1" t="s">
        <v>289</v>
      </c>
      <c r="E44" s="1" t="s">
        <v>8018</v>
      </c>
      <c r="F44" s="1" t="s">
        <v>17</v>
      </c>
      <c r="G44" s="4" t="str">
        <f>"07620"</f>
        <v>07620</v>
      </c>
      <c r="H44" s="1">
        <v>0</v>
      </c>
      <c r="I44" s="1">
        <v>0</v>
      </c>
      <c r="J44" s="1">
        <v>0</v>
      </c>
      <c r="K44" s="1">
        <v>11</v>
      </c>
      <c r="L44" s="1" t="s">
        <v>146</v>
      </c>
      <c r="M44" s="1" t="s">
        <v>8035</v>
      </c>
      <c r="N44" s="1" t="s">
        <v>13</v>
      </c>
      <c r="O44" s="1" t="s">
        <v>287</v>
      </c>
    </row>
    <row r="45" spans="1:15" x14ac:dyDescent="0.4">
      <c r="A45" s="1" t="s">
        <v>286</v>
      </c>
      <c r="B45" s="1" t="s">
        <v>7346</v>
      </c>
      <c r="C45" s="1" t="s">
        <v>7350</v>
      </c>
      <c r="D45" s="1" t="s">
        <v>2741</v>
      </c>
      <c r="E45" s="1" t="s">
        <v>8018</v>
      </c>
      <c r="F45" s="1" t="s">
        <v>17</v>
      </c>
      <c r="G45" s="4" t="str">
        <f>"07871"</f>
        <v>07871</v>
      </c>
      <c r="H45" s="1">
        <v>0</v>
      </c>
      <c r="I45" s="1">
        <v>0</v>
      </c>
      <c r="J45" s="1">
        <v>0</v>
      </c>
      <c r="K45" s="1">
        <v>11</v>
      </c>
      <c r="L45" s="1" t="s">
        <v>7347</v>
      </c>
      <c r="M45" s="1" t="s">
        <v>7348</v>
      </c>
      <c r="N45" s="1" t="s">
        <v>13</v>
      </c>
      <c r="O45" s="1" t="s">
        <v>7349</v>
      </c>
    </row>
    <row r="46" spans="1:15" x14ac:dyDescent="0.4">
      <c r="A46" s="1" t="s">
        <v>6698</v>
      </c>
      <c r="B46" s="1" t="s">
        <v>6692</v>
      </c>
      <c r="C46" s="1" t="s">
        <v>6701</v>
      </c>
      <c r="D46" s="1" t="s">
        <v>2460</v>
      </c>
      <c r="E46" s="1" t="s">
        <v>2670</v>
      </c>
      <c r="F46" s="1" t="s">
        <v>17</v>
      </c>
      <c r="G46" s="4" t="str">
        <f>"07501"</f>
        <v>07501</v>
      </c>
      <c r="H46" s="1">
        <v>0</v>
      </c>
      <c r="I46" s="1">
        <v>0</v>
      </c>
      <c r="J46" s="1">
        <v>0</v>
      </c>
      <c r="K46" s="1">
        <v>0</v>
      </c>
      <c r="L46" s="1" t="s">
        <v>43</v>
      </c>
      <c r="M46" s="1" t="s">
        <v>6699</v>
      </c>
      <c r="N46" s="1" t="s">
        <v>13</v>
      </c>
      <c r="O46" s="1" t="s">
        <v>6700</v>
      </c>
    </row>
    <row r="47" spans="1:15" x14ac:dyDescent="0.4">
      <c r="A47" s="1" t="s">
        <v>3251</v>
      </c>
      <c r="B47" s="1" t="s">
        <v>3249</v>
      </c>
      <c r="C47" s="1" t="s">
        <v>3253</v>
      </c>
      <c r="D47" s="1" t="s">
        <v>2526</v>
      </c>
      <c r="E47" s="1" t="s">
        <v>8024</v>
      </c>
      <c r="F47" s="1" t="s">
        <v>17</v>
      </c>
      <c r="G47" s="4" t="str">
        <f>"07103"</f>
        <v>07103</v>
      </c>
      <c r="H47" s="1">
        <v>0</v>
      </c>
      <c r="I47" s="1">
        <v>0</v>
      </c>
      <c r="J47" s="1">
        <v>0</v>
      </c>
      <c r="K47" s="1">
        <v>0</v>
      </c>
      <c r="L47" s="1" t="s">
        <v>846</v>
      </c>
      <c r="M47" s="1" t="s">
        <v>1763</v>
      </c>
      <c r="N47" s="1" t="s">
        <v>13</v>
      </c>
      <c r="O47" s="1" t="s">
        <v>3252</v>
      </c>
    </row>
    <row r="48" spans="1:15" x14ac:dyDescent="0.4">
      <c r="A48" s="1" t="s">
        <v>7155</v>
      </c>
      <c r="B48" s="1" t="s">
        <v>7154</v>
      </c>
      <c r="C48" s="1" t="s">
        <v>7157</v>
      </c>
      <c r="D48" s="1" t="s">
        <v>7158</v>
      </c>
      <c r="E48" s="1" t="s">
        <v>2471</v>
      </c>
      <c r="F48" s="1" t="s">
        <v>17</v>
      </c>
      <c r="G48" s="4" t="str">
        <f>"08844"</f>
        <v>08844</v>
      </c>
      <c r="H48" s="1">
        <v>0</v>
      </c>
      <c r="I48" s="1">
        <v>0</v>
      </c>
      <c r="J48" s="1">
        <v>48</v>
      </c>
      <c r="K48" s="1">
        <v>0</v>
      </c>
      <c r="L48" s="1" t="s">
        <v>497</v>
      </c>
      <c r="M48" s="1" t="s">
        <v>1513</v>
      </c>
      <c r="N48" s="1" t="s">
        <v>13</v>
      </c>
      <c r="O48" s="1" t="s">
        <v>7156</v>
      </c>
    </row>
    <row r="49" spans="1:15" x14ac:dyDescent="0.4">
      <c r="A49" s="1" t="s">
        <v>7262</v>
      </c>
      <c r="B49" s="1" t="s">
        <v>7261</v>
      </c>
      <c r="C49" s="1" t="s">
        <v>7264</v>
      </c>
      <c r="D49" s="1" t="s">
        <v>55</v>
      </c>
      <c r="E49" s="1" t="s">
        <v>2471</v>
      </c>
      <c r="F49" s="1" t="s">
        <v>17</v>
      </c>
      <c r="G49" s="4" t="str">
        <f>"07059"</f>
        <v>07059</v>
      </c>
      <c r="H49" s="1">
        <v>0</v>
      </c>
      <c r="I49" s="1">
        <v>0</v>
      </c>
      <c r="J49" s="1">
        <v>0</v>
      </c>
      <c r="K49" s="1">
        <v>33</v>
      </c>
      <c r="L49" s="1" t="s">
        <v>428</v>
      </c>
      <c r="M49" s="1" t="s">
        <v>421</v>
      </c>
      <c r="N49" s="1" t="s">
        <v>13</v>
      </c>
      <c r="O49" s="1" t="s">
        <v>7263</v>
      </c>
    </row>
    <row r="50" spans="1:15" x14ac:dyDescent="0.4">
      <c r="A50" s="1" t="s">
        <v>729</v>
      </c>
      <c r="B50" s="1" t="s">
        <v>728</v>
      </c>
      <c r="C50" s="1" t="s">
        <v>731</v>
      </c>
      <c r="D50" s="1" t="s">
        <v>732</v>
      </c>
      <c r="E50" s="1" t="s">
        <v>8018</v>
      </c>
      <c r="F50" s="1" t="s">
        <v>17</v>
      </c>
      <c r="G50" s="4" t="str">
        <f>"07642"</f>
        <v>07642</v>
      </c>
      <c r="H50" s="1">
        <v>0</v>
      </c>
      <c r="I50" s="1">
        <v>0</v>
      </c>
      <c r="J50" s="1">
        <v>0</v>
      </c>
      <c r="K50" s="1">
        <v>55</v>
      </c>
      <c r="L50" s="1" t="s">
        <v>428</v>
      </c>
      <c r="M50" s="1" t="s">
        <v>498</v>
      </c>
      <c r="N50" s="1" t="s">
        <v>13</v>
      </c>
      <c r="O50" s="1" t="s">
        <v>730</v>
      </c>
    </row>
    <row r="51" spans="1:15" x14ac:dyDescent="0.4">
      <c r="A51" s="1" t="s">
        <v>3254</v>
      </c>
      <c r="B51" s="1" t="s">
        <v>3249</v>
      </c>
      <c r="C51" s="1" t="s">
        <v>3257</v>
      </c>
      <c r="D51" s="1" t="s">
        <v>2526</v>
      </c>
      <c r="E51" s="1" t="s">
        <v>8024</v>
      </c>
      <c r="F51" s="1" t="s">
        <v>17</v>
      </c>
      <c r="G51" s="4" t="str">
        <f>"07105-3108"</f>
        <v>07105-3108</v>
      </c>
      <c r="H51" s="1">
        <v>0</v>
      </c>
      <c r="I51" s="1">
        <v>0</v>
      </c>
      <c r="J51" s="1">
        <v>0</v>
      </c>
      <c r="K51" s="1">
        <v>153</v>
      </c>
      <c r="L51" s="1" t="s">
        <v>3255</v>
      </c>
      <c r="M51" s="1" t="s">
        <v>1623</v>
      </c>
      <c r="N51" s="1" t="s">
        <v>13</v>
      </c>
      <c r="O51" s="1" t="s">
        <v>3256</v>
      </c>
    </row>
    <row r="52" spans="1:15" x14ac:dyDescent="0.4">
      <c r="A52" s="1" t="s">
        <v>3826</v>
      </c>
      <c r="B52" s="1" t="s">
        <v>3825</v>
      </c>
      <c r="C52" s="1" t="s">
        <v>3829</v>
      </c>
      <c r="D52" s="1" t="s">
        <v>3830</v>
      </c>
      <c r="E52" s="1" t="s">
        <v>3646</v>
      </c>
      <c r="F52" s="1" t="s">
        <v>17</v>
      </c>
      <c r="G52" s="4" t="str">
        <f>"07093-2411"</f>
        <v>07093-2411</v>
      </c>
      <c r="H52" s="1">
        <v>0</v>
      </c>
      <c r="I52" s="1">
        <v>0</v>
      </c>
      <c r="J52" s="1">
        <v>0</v>
      </c>
      <c r="K52" s="1">
        <v>91</v>
      </c>
      <c r="L52" s="1" t="s">
        <v>832</v>
      </c>
      <c r="M52" s="1" t="s">
        <v>3827</v>
      </c>
      <c r="N52" s="1" t="s">
        <v>13</v>
      </c>
      <c r="O52" s="1" t="s">
        <v>3828</v>
      </c>
    </row>
    <row r="53" spans="1:15" x14ac:dyDescent="0.4">
      <c r="A53" s="1" t="s">
        <v>2879</v>
      </c>
      <c r="B53" s="1" t="s">
        <v>2878</v>
      </c>
      <c r="C53" s="1" t="s">
        <v>2883</v>
      </c>
      <c r="D53" s="1" t="s">
        <v>2796</v>
      </c>
      <c r="E53" s="1" t="s">
        <v>8023</v>
      </c>
      <c r="F53" s="1" t="s">
        <v>17</v>
      </c>
      <c r="G53" s="4" t="str">
        <f>"08360-7309"</f>
        <v>08360-7309</v>
      </c>
      <c r="H53" s="1">
        <v>0</v>
      </c>
      <c r="I53" s="1">
        <v>0</v>
      </c>
      <c r="J53" s="1">
        <v>0</v>
      </c>
      <c r="K53" s="1">
        <v>81</v>
      </c>
      <c r="L53" s="1" t="s">
        <v>2880</v>
      </c>
      <c r="M53" s="1" t="s">
        <v>2881</v>
      </c>
      <c r="N53" s="1" t="s">
        <v>13</v>
      </c>
      <c r="O53" s="1" t="s">
        <v>2882</v>
      </c>
    </row>
    <row r="54" spans="1:15" x14ac:dyDescent="0.4">
      <c r="A54" s="1" t="s">
        <v>4859</v>
      </c>
      <c r="B54" s="1" t="s">
        <v>4858</v>
      </c>
      <c r="C54" s="1" t="s">
        <v>4861</v>
      </c>
      <c r="D54" s="1" t="s">
        <v>4719</v>
      </c>
      <c r="E54" s="1" t="s">
        <v>4704</v>
      </c>
      <c r="F54" s="1" t="s">
        <v>17</v>
      </c>
      <c r="G54" s="4" t="str">
        <f>"08861-3534"</f>
        <v>08861-3534</v>
      </c>
      <c r="H54" s="1">
        <v>0</v>
      </c>
      <c r="I54" s="1">
        <v>0</v>
      </c>
      <c r="J54" s="1">
        <v>0</v>
      </c>
      <c r="K54" s="1">
        <v>80</v>
      </c>
      <c r="L54" s="1" t="s">
        <v>38</v>
      </c>
      <c r="M54" s="1" t="s">
        <v>62</v>
      </c>
      <c r="N54" s="1" t="s">
        <v>13</v>
      </c>
      <c r="O54" s="1" t="s">
        <v>4860</v>
      </c>
    </row>
    <row r="55" spans="1:15" x14ac:dyDescent="0.4">
      <c r="A55" s="1" t="s">
        <v>6861</v>
      </c>
      <c r="B55" s="1" t="s">
        <v>6857</v>
      </c>
      <c r="C55" s="1" t="s">
        <v>6865</v>
      </c>
      <c r="D55" s="1" t="s">
        <v>6682</v>
      </c>
      <c r="E55" s="1" t="s">
        <v>2670</v>
      </c>
      <c r="F55" s="1" t="s">
        <v>17</v>
      </c>
      <c r="G55" s="4" t="str">
        <f>"07470"</f>
        <v>07470</v>
      </c>
      <c r="H55" s="1">
        <v>0</v>
      </c>
      <c r="I55" s="1">
        <v>0</v>
      </c>
      <c r="J55" s="1">
        <v>0</v>
      </c>
      <c r="K55" s="1">
        <v>0</v>
      </c>
      <c r="L55" s="1" t="s">
        <v>6862</v>
      </c>
      <c r="M55" s="1" t="s">
        <v>6863</v>
      </c>
      <c r="N55" s="1" t="s">
        <v>13</v>
      </c>
      <c r="O55" s="1" t="s">
        <v>6864</v>
      </c>
    </row>
    <row r="56" spans="1:15" x14ac:dyDescent="0.4">
      <c r="A56" s="1" t="s">
        <v>4735</v>
      </c>
      <c r="B56" s="1" t="s">
        <v>4734</v>
      </c>
      <c r="C56" s="1" t="s">
        <v>4738</v>
      </c>
      <c r="D56" s="1" t="s">
        <v>4739</v>
      </c>
      <c r="E56" s="1" t="s">
        <v>4704</v>
      </c>
      <c r="F56" s="1" t="s">
        <v>17</v>
      </c>
      <c r="G56" s="4" t="str">
        <f>"08831"</f>
        <v>08831</v>
      </c>
      <c r="H56" s="1">
        <v>0</v>
      </c>
      <c r="I56" s="1">
        <v>0</v>
      </c>
      <c r="J56" s="1">
        <v>0</v>
      </c>
      <c r="K56" s="1">
        <v>0</v>
      </c>
      <c r="L56" s="1" t="s">
        <v>2905</v>
      </c>
      <c r="M56" s="1" t="s">
        <v>4736</v>
      </c>
      <c r="N56" s="1" t="s">
        <v>13</v>
      </c>
      <c r="O56" s="1" t="s">
        <v>4737</v>
      </c>
    </row>
    <row r="57" spans="1:15" x14ac:dyDescent="0.4">
      <c r="A57" s="1" t="s">
        <v>317</v>
      </c>
      <c r="B57" s="1" t="s">
        <v>316</v>
      </c>
      <c r="C57" s="1" t="s">
        <v>321</v>
      </c>
      <c r="D57" s="1" t="s">
        <v>297</v>
      </c>
      <c r="E57" s="1" t="s">
        <v>8018</v>
      </c>
      <c r="F57" s="1" t="s">
        <v>17</v>
      </c>
      <c r="G57" s="4" t="str">
        <f>"07652"</f>
        <v>07652</v>
      </c>
      <c r="H57" s="1">
        <v>0</v>
      </c>
      <c r="I57" s="1">
        <v>0</v>
      </c>
      <c r="J57" s="1">
        <v>0</v>
      </c>
      <c r="K57" s="1">
        <v>0</v>
      </c>
      <c r="L57" s="1" t="s">
        <v>318</v>
      </c>
      <c r="M57" s="1" t="s">
        <v>319</v>
      </c>
      <c r="N57" s="1" t="s">
        <v>13</v>
      </c>
      <c r="O57" s="1" t="s">
        <v>320</v>
      </c>
    </row>
    <row r="58" spans="1:15" x14ac:dyDescent="0.4">
      <c r="A58" s="1" t="s">
        <v>6918</v>
      </c>
      <c r="B58" s="1" t="s">
        <v>6917</v>
      </c>
      <c r="C58" s="1" t="s">
        <v>6921</v>
      </c>
      <c r="D58" s="1" t="s">
        <v>6922</v>
      </c>
      <c r="E58" s="1" t="s">
        <v>2670</v>
      </c>
      <c r="F58" s="1" t="s">
        <v>17</v>
      </c>
      <c r="G58" s="4" t="str">
        <f>"07480-3708"</f>
        <v>07480-3708</v>
      </c>
      <c r="H58" s="1">
        <v>0</v>
      </c>
      <c r="I58" s="1">
        <v>0</v>
      </c>
      <c r="J58" s="1">
        <v>0</v>
      </c>
      <c r="K58" s="1">
        <v>48</v>
      </c>
      <c r="L58" s="1" t="s">
        <v>413</v>
      </c>
      <c r="M58" s="1" t="s">
        <v>6919</v>
      </c>
      <c r="N58" s="1" t="s">
        <v>13</v>
      </c>
      <c r="O58" s="1" t="s">
        <v>6920</v>
      </c>
    </row>
    <row r="59" spans="1:15" x14ac:dyDescent="0.4">
      <c r="A59" s="1" t="s">
        <v>4901</v>
      </c>
      <c r="B59" s="1" t="s">
        <v>4900</v>
      </c>
      <c r="C59" s="1" t="s">
        <v>4904</v>
      </c>
      <c r="D59" s="1" t="s">
        <v>4631</v>
      </c>
      <c r="E59" s="1" t="s">
        <v>4704</v>
      </c>
      <c r="F59" s="1" t="s">
        <v>17</v>
      </c>
      <c r="G59" s="4" t="str">
        <f>"08854"</f>
        <v>08854</v>
      </c>
      <c r="H59" s="1">
        <v>0</v>
      </c>
      <c r="I59" s="1">
        <v>0</v>
      </c>
      <c r="J59" s="1">
        <v>0</v>
      </c>
      <c r="K59" s="1">
        <v>0</v>
      </c>
      <c r="L59" s="1" t="s">
        <v>714</v>
      </c>
      <c r="M59" s="1" t="s">
        <v>4902</v>
      </c>
      <c r="N59" s="1" t="s">
        <v>1448</v>
      </c>
      <c r="O59" s="1" t="s">
        <v>4903</v>
      </c>
    </row>
    <row r="60" spans="1:15" x14ac:dyDescent="0.4">
      <c r="A60" s="1" t="s">
        <v>5302</v>
      </c>
      <c r="B60" s="1" t="s">
        <v>5297</v>
      </c>
      <c r="C60" s="1" t="s">
        <v>5305</v>
      </c>
      <c r="D60" s="1" t="s">
        <v>5192</v>
      </c>
      <c r="E60" s="1" t="s">
        <v>8027</v>
      </c>
      <c r="F60" s="1" t="s">
        <v>17</v>
      </c>
      <c r="G60" s="4" t="str">
        <f>"07727-3528"</f>
        <v>07727-3528</v>
      </c>
      <c r="H60" s="1">
        <v>0</v>
      </c>
      <c r="I60" s="1">
        <v>0</v>
      </c>
      <c r="J60" s="1">
        <v>0</v>
      </c>
      <c r="K60" s="1">
        <v>59</v>
      </c>
      <c r="L60" s="1" t="s">
        <v>19</v>
      </c>
      <c r="M60" s="1" t="s">
        <v>5303</v>
      </c>
      <c r="N60" s="1" t="s">
        <v>13</v>
      </c>
      <c r="O60" s="1" t="s">
        <v>5304</v>
      </c>
    </row>
    <row r="61" spans="1:15" x14ac:dyDescent="0.4">
      <c r="A61" s="1" t="s">
        <v>4394</v>
      </c>
      <c r="B61" s="1" t="s">
        <v>4393</v>
      </c>
      <c r="C61" s="1" t="s">
        <v>4397</v>
      </c>
      <c r="D61" s="1" t="s">
        <v>2427</v>
      </c>
      <c r="E61" s="1" t="s">
        <v>8026</v>
      </c>
      <c r="F61" s="1" t="s">
        <v>17</v>
      </c>
      <c r="G61" s="4" t="str">
        <f>"08618"</f>
        <v>08618</v>
      </c>
      <c r="H61" s="1">
        <v>0</v>
      </c>
      <c r="I61" s="1">
        <v>0</v>
      </c>
      <c r="J61" s="1">
        <v>0</v>
      </c>
      <c r="K61" s="1">
        <v>0</v>
      </c>
      <c r="L61" s="1" t="s">
        <v>197</v>
      </c>
      <c r="M61" s="1" t="s">
        <v>4395</v>
      </c>
      <c r="N61" s="1" t="s">
        <v>13</v>
      </c>
      <c r="O61" s="1" t="s">
        <v>4396</v>
      </c>
    </row>
    <row r="62" spans="1:15" x14ac:dyDescent="0.4">
      <c r="A62" s="1" t="s">
        <v>7433</v>
      </c>
      <c r="B62" s="1" t="s">
        <v>7432</v>
      </c>
      <c r="C62" s="1" t="s">
        <v>7435</v>
      </c>
      <c r="D62" s="1" t="s">
        <v>7436</v>
      </c>
      <c r="E62" s="1" t="s">
        <v>7833</v>
      </c>
      <c r="F62" s="1" t="s">
        <v>17</v>
      </c>
      <c r="G62" s="4" t="str">
        <f>"07066"</f>
        <v>07066</v>
      </c>
      <c r="H62" s="1">
        <v>0</v>
      </c>
      <c r="I62" s="1">
        <v>0</v>
      </c>
      <c r="J62" s="1">
        <v>0</v>
      </c>
      <c r="K62" s="1">
        <v>0</v>
      </c>
      <c r="L62" s="1" t="s">
        <v>1639</v>
      </c>
      <c r="M62" s="1" t="s">
        <v>2418</v>
      </c>
      <c r="N62" s="1" t="s">
        <v>13</v>
      </c>
      <c r="O62" s="1" t="s">
        <v>7434</v>
      </c>
    </row>
    <row r="63" spans="1:15" x14ac:dyDescent="0.4">
      <c r="A63" s="1" t="s">
        <v>6992</v>
      </c>
      <c r="B63" s="1" t="s">
        <v>6991</v>
      </c>
      <c r="C63" s="1" t="s">
        <v>6995</v>
      </c>
      <c r="D63" s="1" t="s">
        <v>6996</v>
      </c>
      <c r="E63" s="1" t="s">
        <v>8029</v>
      </c>
      <c r="F63" s="1" t="s">
        <v>17</v>
      </c>
      <c r="G63" s="4" t="str">
        <f>"08318-8901"</f>
        <v>08318-8901</v>
      </c>
      <c r="H63" s="1">
        <v>0</v>
      </c>
      <c r="I63" s="1">
        <v>0</v>
      </c>
      <c r="J63" s="1">
        <v>0</v>
      </c>
      <c r="K63" s="1">
        <v>0</v>
      </c>
      <c r="L63" s="1" t="s">
        <v>1890</v>
      </c>
      <c r="M63" s="1" t="s">
        <v>6993</v>
      </c>
      <c r="N63" s="1" t="s">
        <v>13</v>
      </c>
      <c r="O63" s="1" t="s">
        <v>6994</v>
      </c>
    </row>
    <row r="64" spans="1:15" x14ac:dyDescent="0.4">
      <c r="A64" s="1" t="s">
        <v>5814</v>
      </c>
      <c r="B64" s="1" t="s">
        <v>5813</v>
      </c>
      <c r="C64" s="1" t="s">
        <v>5816</v>
      </c>
      <c r="D64" s="1" t="s">
        <v>5817</v>
      </c>
      <c r="E64" s="1" t="s">
        <v>1503</v>
      </c>
      <c r="F64" s="1" t="s">
        <v>17</v>
      </c>
      <c r="G64" s="4" t="str">
        <f>"07885"</f>
        <v>07885</v>
      </c>
      <c r="H64" s="1">
        <v>0</v>
      </c>
      <c r="I64" s="1">
        <v>0</v>
      </c>
      <c r="J64" s="1">
        <v>0</v>
      </c>
      <c r="K64" s="1">
        <v>2</v>
      </c>
      <c r="L64" s="1" t="s">
        <v>146</v>
      </c>
      <c r="M64" s="1" t="s">
        <v>5716</v>
      </c>
      <c r="N64" s="1" t="s">
        <v>13</v>
      </c>
      <c r="O64" s="1" t="s">
        <v>5815</v>
      </c>
    </row>
    <row r="65" spans="1:15" x14ac:dyDescent="0.4">
      <c r="A65" s="1" t="s">
        <v>3258</v>
      </c>
      <c r="B65" s="1" t="s">
        <v>3249</v>
      </c>
      <c r="C65" s="1" t="s">
        <v>3261</v>
      </c>
      <c r="D65" s="1" t="s">
        <v>2526</v>
      </c>
      <c r="E65" s="1" t="s">
        <v>8024</v>
      </c>
      <c r="F65" s="1" t="s">
        <v>17</v>
      </c>
      <c r="G65" s="4" t="str">
        <f>"07102-1214"</f>
        <v>07102-1214</v>
      </c>
      <c r="H65" s="1">
        <v>0</v>
      </c>
      <c r="I65" s="1">
        <v>0</v>
      </c>
      <c r="J65" s="1">
        <v>0</v>
      </c>
      <c r="K65" s="1">
        <v>0</v>
      </c>
      <c r="L65" s="1" t="s">
        <v>483</v>
      </c>
      <c r="M65" s="1" t="s">
        <v>3259</v>
      </c>
      <c r="N65" s="1" t="s">
        <v>13</v>
      </c>
      <c r="O65" s="1" t="s">
        <v>3260</v>
      </c>
    </row>
    <row r="66" spans="1:15" x14ac:dyDescent="0.4">
      <c r="A66" s="1" t="s">
        <v>5135</v>
      </c>
      <c r="B66" s="1" t="s">
        <v>5134</v>
      </c>
      <c r="C66" s="1" t="s">
        <v>5137</v>
      </c>
      <c r="D66" s="1" t="s">
        <v>2588</v>
      </c>
      <c r="E66" s="1" t="s">
        <v>8027</v>
      </c>
      <c r="F66" s="1" t="s">
        <v>17</v>
      </c>
      <c r="G66" s="4" t="str">
        <f>"07712-5099"</f>
        <v>07712-5099</v>
      </c>
      <c r="H66" s="1">
        <v>0</v>
      </c>
      <c r="I66" s="1">
        <v>0</v>
      </c>
      <c r="J66" s="1">
        <v>0</v>
      </c>
      <c r="K66" s="1">
        <v>0</v>
      </c>
      <c r="L66" s="1" t="s">
        <v>1448</v>
      </c>
      <c r="M66" s="1" t="s">
        <v>1448</v>
      </c>
      <c r="N66" s="1" t="s">
        <v>13</v>
      </c>
      <c r="O66" s="1" t="s">
        <v>5136</v>
      </c>
    </row>
    <row r="67" spans="1:15" x14ac:dyDescent="0.4">
      <c r="A67" s="1" t="s">
        <v>5426</v>
      </c>
      <c r="B67" s="1" t="s">
        <v>5425</v>
      </c>
      <c r="C67" s="1" t="s">
        <v>5429</v>
      </c>
      <c r="D67" s="1" t="s">
        <v>5430</v>
      </c>
      <c r="E67" s="1" t="s">
        <v>8027</v>
      </c>
      <c r="F67" s="1" t="s">
        <v>17</v>
      </c>
      <c r="G67" s="4" t="str">
        <f>"07751-1298"</f>
        <v>07751-1298</v>
      </c>
      <c r="H67" s="1">
        <v>0</v>
      </c>
      <c r="I67" s="1">
        <v>0</v>
      </c>
      <c r="J67" s="1">
        <v>0</v>
      </c>
      <c r="K67" s="1">
        <v>0</v>
      </c>
      <c r="L67" s="1" t="s">
        <v>2835</v>
      </c>
      <c r="M67" s="1" t="s">
        <v>5427</v>
      </c>
      <c r="N67" s="1" t="s">
        <v>13</v>
      </c>
      <c r="O67" s="1" t="s">
        <v>5428</v>
      </c>
    </row>
    <row r="68" spans="1:15" x14ac:dyDescent="0.4">
      <c r="A68" s="1" t="s">
        <v>2282</v>
      </c>
      <c r="B68" s="1" t="s">
        <v>2281</v>
      </c>
      <c r="C68" s="1" t="s">
        <v>2285</v>
      </c>
      <c r="D68" s="1" t="s">
        <v>2286</v>
      </c>
      <c r="E68" s="1" t="s">
        <v>1909</v>
      </c>
      <c r="F68" s="1" t="s">
        <v>17</v>
      </c>
      <c r="G68" s="4" t="str">
        <f>"08004-1033"</f>
        <v>08004-1033</v>
      </c>
      <c r="H68" s="1">
        <v>0</v>
      </c>
      <c r="I68" s="1">
        <v>0</v>
      </c>
      <c r="J68" s="1">
        <v>0</v>
      </c>
      <c r="K68" s="1">
        <v>4</v>
      </c>
      <c r="L68" s="1" t="s">
        <v>714</v>
      </c>
      <c r="M68" s="1" t="s">
        <v>2283</v>
      </c>
      <c r="N68" s="1" t="s">
        <v>13</v>
      </c>
      <c r="O68" s="1" t="s">
        <v>2284</v>
      </c>
    </row>
    <row r="69" spans="1:15" x14ac:dyDescent="0.4">
      <c r="A69" s="1" t="s">
        <v>5935</v>
      </c>
      <c r="B69" s="1" t="s">
        <v>5925</v>
      </c>
      <c r="C69" s="1" t="s">
        <v>5936</v>
      </c>
      <c r="D69" s="1" t="s">
        <v>5937</v>
      </c>
      <c r="E69" s="1" t="s">
        <v>1503</v>
      </c>
      <c r="F69" s="1" t="s">
        <v>17</v>
      </c>
      <c r="G69" s="4" t="str">
        <f>"07876"</f>
        <v>07876</v>
      </c>
      <c r="H69" s="1">
        <v>0</v>
      </c>
      <c r="I69" s="1">
        <v>0</v>
      </c>
      <c r="J69" s="1">
        <v>0</v>
      </c>
      <c r="K69" s="1">
        <v>0</v>
      </c>
      <c r="L69" s="1" t="s">
        <v>153</v>
      </c>
      <c r="M69" s="1" t="s">
        <v>5240</v>
      </c>
      <c r="N69" s="1" t="s">
        <v>91</v>
      </c>
      <c r="O69" s="1" t="s">
        <v>5927</v>
      </c>
    </row>
    <row r="70" spans="1:15" x14ac:dyDescent="0.4">
      <c r="A70" s="1" t="s">
        <v>2085</v>
      </c>
      <c r="B70" s="1" t="s">
        <v>2084</v>
      </c>
      <c r="C70" s="1" t="s">
        <v>2087</v>
      </c>
      <c r="D70" s="1" t="s">
        <v>2088</v>
      </c>
      <c r="E70" s="1" t="s">
        <v>1909</v>
      </c>
      <c r="F70" s="1" t="s">
        <v>17</v>
      </c>
      <c r="G70" s="4" t="str">
        <f>"08035"</f>
        <v>08035</v>
      </c>
      <c r="H70" s="1">
        <v>0</v>
      </c>
      <c r="I70" s="1">
        <v>0</v>
      </c>
      <c r="J70" s="1">
        <v>0</v>
      </c>
      <c r="K70" s="1">
        <v>40</v>
      </c>
      <c r="L70" s="1" t="s">
        <v>380</v>
      </c>
      <c r="M70" s="1" t="s">
        <v>1557</v>
      </c>
      <c r="N70" s="1" t="s">
        <v>13</v>
      </c>
      <c r="O70" s="1" t="s">
        <v>2086</v>
      </c>
    </row>
    <row r="71" spans="1:15" x14ac:dyDescent="0.4">
      <c r="A71" s="1" t="s">
        <v>22</v>
      </c>
      <c r="B71" s="1" t="s">
        <v>21</v>
      </c>
      <c r="C71" s="1" t="s">
        <v>26</v>
      </c>
      <c r="D71" s="1" t="s">
        <v>27</v>
      </c>
      <c r="E71" s="1" t="s">
        <v>8017</v>
      </c>
      <c r="F71" s="1" t="s">
        <v>17</v>
      </c>
      <c r="G71" s="4" t="str">
        <f>"08401-6153"</f>
        <v>08401-6153</v>
      </c>
      <c r="H71" s="1">
        <v>0</v>
      </c>
      <c r="I71" s="1">
        <v>0</v>
      </c>
      <c r="J71" s="1">
        <v>0</v>
      </c>
      <c r="K71" s="1">
        <v>0</v>
      </c>
      <c r="L71" s="1" t="s">
        <v>23</v>
      </c>
      <c r="M71" s="1" t="s">
        <v>24</v>
      </c>
      <c r="N71" s="1" t="s">
        <v>13</v>
      </c>
      <c r="O71" s="1" t="s">
        <v>25</v>
      </c>
    </row>
    <row r="72" spans="1:15" x14ac:dyDescent="0.4">
      <c r="A72" s="1" t="s">
        <v>2428</v>
      </c>
      <c r="B72" s="1" t="s">
        <v>2428</v>
      </c>
      <c r="C72" s="1" t="s">
        <v>2431</v>
      </c>
      <c r="D72" s="1" t="s">
        <v>2432</v>
      </c>
      <c r="E72" s="1" t="s">
        <v>8022</v>
      </c>
      <c r="F72" s="1" t="s">
        <v>17</v>
      </c>
      <c r="G72" s="4" t="str">
        <f>"08205"</f>
        <v>08205</v>
      </c>
      <c r="H72" s="1">
        <v>0</v>
      </c>
      <c r="I72" s="1">
        <v>0</v>
      </c>
      <c r="J72" s="1">
        <v>0</v>
      </c>
      <c r="K72" s="1">
        <v>26</v>
      </c>
      <c r="L72" s="1" t="s">
        <v>380</v>
      </c>
      <c r="M72" s="1" t="s">
        <v>2429</v>
      </c>
      <c r="N72" s="1" t="s">
        <v>13</v>
      </c>
      <c r="O72" s="1" t="s">
        <v>2430</v>
      </c>
    </row>
    <row r="73" spans="1:15" x14ac:dyDescent="0.4">
      <c r="A73" s="1" t="s">
        <v>56</v>
      </c>
      <c r="B73" s="1" t="s">
        <v>49</v>
      </c>
      <c r="C73" s="1" t="s">
        <v>52</v>
      </c>
      <c r="D73" s="1" t="s">
        <v>53</v>
      </c>
      <c r="E73" s="1" t="s">
        <v>8017</v>
      </c>
      <c r="F73" s="1" t="s">
        <v>17</v>
      </c>
      <c r="G73" s="4" t="str">
        <f>"08330"</f>
        <v>08330</v>
      </c>
      <c r="H73" s="1">
        <v>0</v>
      </c>
      <c r="I73" s="1">
        <v>0</v>
      </c>
      <c r="J73" s="1">
        <v>0</v>
      </c>
      <c r="K73" s="1">
        <v>0</v>
      </c>
      <c r="L73" s="1" t="s">
        <v>57</v>
      </c>
      <c r="M73" s="1" t="s">
        <v>58</v>
      </c>
      <c r="N73" s="1" t="s">
        <v>13</v>
      </c>
      <c r="O73" s="1" t="s">
        <v>59</v>
      </c>
    </row>
    <row r="74" spans="1:15" x14ac:dyDescent="0.4">
      <c r="A74" s="1" t="s">
        <v>61</v>
      </c>
      <c r="B74" s="1" t="s">
        <v>60</v>
      </c>
      <c r="C74" s="1" t="s">
        <v>65</v>
      </c>
      <c r="D74" s="1" t="s">
        <v>53</v>
      </c>
      <c r="E74" s="1" t="s">
        <v>8017</v>
      </c>
      <c r="F74" s="1" t="s">
        <v>17</v>
      </c>
      <c r="G74" s="4" t="str">
        <f>"08330-2024"</f>
        <v>08330-2024</v>
      </c>
      <c r="H74" s="1">
        <v>0</v>
      </c>
      <c r="I74" s="1">
        <v>0</v>
      </c>
      <c r="J74" s="1">
        <v>0</v>
      </c>
      <c r="K74" s="1">
        <v>0</v>
      </c>
      <c r="L74" s="1" t="s">
        <v>62</v>
      </c>
      <c r="M74" s="1" t="s">
        <v>63</v>
      </c>
      <c r="N74" s="1" t="s">
        <v>13</v>
      </c>
      <c r="O74" s="1" t="s">
        <v>64</v>
      </c>
    </row>
    <row r="75" spans="1:15" x14ac:dyDescent="0.4">
      <c r="A75" s="1" t="s">
        <v>1812</v>
      </c>
      <c r="B75" s="1" t="s">
        <v>1811</v>
      </c>
      <c r="C75" s="1" t="s">
        <v>1815</v>
      </c>
      <c r="D75" s="1" t="s">
        <v>1816</v>
      </c>
      <c r="E75" s="1" t="s">
        <v>1909</v>
      </c>
      <c r="F75" s="1" t="s">
        <v>17</v>
      </c>
      <c r="G75" s="4" t="str">
        <f>"08106"</f>
        <v>08106</v>
      </c>
      <c r="H75" s="1">
        <v>0</v>
      </c>
      <c r="I75" s="1">
        <v>0</v>
      </c>
      <c r="J75" s="1">
        <v>0</v>
      </c>
      <c r="K75" s="1">
        <v>0</v>
      </c>
      <c r="L75" s="1" t="s">
        <v>671</v>
      </c>
      <c r="M75" s="1" t="s">
        <v>1813</v>
      </c>
      <c r="N75" s="1" t="s">
        <v>13</v>
      </c>
      <c r="O75" s="1" t="s">
        <v>1814</v>
      </c>
    </row>
    <row r="76" spans="1:15" x14ac:dyDescent="0.4">
      <c r="A76" s="1" t="s">
        <v>7159</v>
      </c>
      <c r="B76" s="1" t="s">
        <v>7154</v>
      </c>
      <c r="C76" s="1" t="s">
        <v>7161</v>
      </c>
      <c r="D76" s="1" t="s">
        <v>7158</v>
      </c>
      <c r="E76" s="1" t="s">
        <v>2471</v>
      </c>
      <c r="F76" s="1" t="s">
        <v>17</v>
      </c>
      <c r="G76" s="4" t="str">
        <f>"08844"</f>
        <v>08844</v>
      </c>
      <c r="H76" s="1">
        <v>0</v>
      </c>
      <c r="I76" s="1">
        <v>0</v>
      </c>
      <c r="J76" s="1">
        <v>0</v>
      </c>
      <c r="K76" s="1">
        <v>0</v>
      </c>
      <c r="L76" s="1" t="s">
        <v>380</v>
      </c>
      <c r="M76" s="1" t="s">
        <v>1855</v>
      </c>
      <c r="N76" s="1" t="s">
        <v>13</v>
      </c>
      <c r="O76" s="1" t="s">
        <v>7160</v>
      </c>
    </row>
    <row r="77" spans="1:15" x14ac:dyDescent="0.4">
      <c r="A77" s="1" t="s">
        <v>292</v>
      </c>
      <c r="B77" s="1" t="s">
        <v>291</v>
      </c>
      <c r="C77" s="1" t="s">
        <v>296</v>
      </c>
      <c r="D77" s="1" t="s">
        <v>297</v>
      </c>
      <c r="E77" s="1" t="s">
        <v>8018</v>
      </c>
      <c r="F77" s="1" t="s">
        <v>17</v>
      </c>
      <c r="G77" s="4" t="str">
        <f>"07652"</f>
        <v>07652</v>
      </c>
      <c r="H77" s="1">
        <v>4</v>
      </c>
      <c r="I77" s="1">
        <v>2</v>
      </c>
      <c r="J77" s="1">
        <v>0</v>
      </c>
      <c r="K77" s="1">
        <v>8</v>
      </c>
      <c r="L77" s="1" t="s">
        <v>293</v>
      </c>
      <c r="M77" s="1" t="s">
        <v>294</v>
      </c>
      <c r="N77" s="1" t="s">
        <v>13</v>
      </c>
      <c r="O77" s="1" t="s">
        <v>295</v>
      </c>
    </row>
    <row r="78" spans="1:15" x14ac:dyDescent="0.4">
      <c r="A78" s="1" t="s">
        <v>5045</v>
      </c>
      <c r="B78" s="1" t="s">
        <v>5044</v>
      </c>
      <c r="C78" s="1" t="s">
        <v>5048</v>
      </c>
      <c r="D78" s="1" t="s">
        <v>5049</v>
      </c>
      <c r="E78" s="1" t="s">
        <v>4704</v>
      </c>
      <c r="F78" s="1" t="s">
        <v>17</v>
      </c>
      <c r="G78" s="4" t="str">
        <f>"07001"</f>
        <v>07001</v>
      </c>
      <c r="H78" s="1">
        <v>0</v>
      </c>
      <c r="I78" s="1">
        <v>0</v>
      </c>
      <c r="J78" s="1">
        <v>0</v>
      </c>
      <c r="K78" s="1">
        <v>0</v>
      </c>
      <c r="L78" s="1" t="s">
        <v>40</v>
      </c>
      <c r="M78" s="1" t="s">
        <v>5046</v>
      </c>
      <c r="N78" s="1" t="s">
        <v>13</v>
      </c>
      <c r="O78" s="1" t="s">
        <v>5047</v>
      </c>
    </row>
    <row r="79" spans="1:15" x14ac:dyDescent="0.4">
      <c r="A79" s="1" t="s">
        <v>5050</v>
      </c>
      <c r="B79" s="1" t="s">
        <v>5044</v>
      </c>
      <c r="C79" s="1" t="s">
        <v>5053</v>
      </c>
      <c r="D79" s="1" t="s">
        <v>5049</v>
      </c>
      <c r="E79" s="1" t="s">
        <v>4704</v>
      </c>
      <c r="F79" s="1" t="s">
        <v>17</v>
      </c>
      <c r="G79" s="4" t="str">
        <f>"07001-1411"</f>
        <v>07001-1411</v>
      </c>
      <c r="H79" s="1">
        <v>0</v>
      </c>
      <c r="I79" s="1">
        <v>0</v>
      </c>
      <c r="J79" s="1">
        <v>0</v>
      </c>
      <c r="K79" s="1">
        <v>42</v>
      </c>
      <c r="L79" s="1" t="s">
        <v>20</v>
      </c>
      <c r="M79" s="1" t="s">
        <v>5051</v>
      </c>
      <c r="N79" s="1" t="s">
        <v>13</v>
      </c>
      <c r="O79" s="1" t="s">
        <v>5052</v>
      </c>
    </row>
    <row r="80" spans="1:15" x14ac:dyDescent="0.4">
      <c r="A80" s="1" t="s">
        <v>1827</v>
      </c>
      <c r="B80" s="1" t="s">
        <v>1826</v>
      </c>
      <c r="C80" s="1" t="s">
        <v>1830</v>
      </c>
      <c r="D80" s="1" t="s">
        <v>1831</v>
      </c>
      <c r="E80" s="1" t="s">
        <v>1909</v>
      </c>
      <c r="F80" s="1" t="s">
        <v>17</v>
      </c>
      <c r="G80" s="4" t="str">
        <f>"08033"</f>
        <v>08033</v>
      </c>
      <c r="H80" s="1">
        <v>0</v>
      </c>
      <c r="I80" s="1">
        <v>0</v>
      </c>
      <c r="J80" s="1">
        <v>0</v>
      </c>
      <c r="K80" s="1">
        <v>61</v>
      </c>
      <c r="L80" s="1" t="s">
        <v>267</v>
      </c>
      <c r="M80" s="1" t="s">
        <v>1828</v>
      </c>
      <c r="N80" s="1" t="s">
        <v>13</v>
      </c>
      <c r="O80" s="1" t="s">
        <v>1829</v>
      </c>
    </row>
    <row r="81" spans="1:15" x14ac:dyDescent="0.4">
      <c r="A81" s="1" t="s">
        <v>1827</v>
      </c>
      <c r="B81" s="1" t="s">
        <v>5146</v>
      </c>
      <c r="C81" s="1" t="s">
        <v>5148</v>
      </c>
      <c r="D81" s="1" t="s">
        <v>5149</v>
      </c>
      <c r="E81" s="1" t="s">
        <v>1909</v>
      </c>
      <c r="F81" s="1" t="s">
        <v>17</v>
      </c>
      <c r="G81" s="4" t="str">
        <f>"07717-1150"</f>
        <v>07717-1150</v>
      </c>
      <c r="H81" s="1">
        <v>0</v>
      </c>
      <c r="I81" s="1">
        <v>0</v>
      </c>
      <c r="J81" s="1">
        <v>0</v>
      </c>
      <c r="K81" s="1">
        <v>61</v>
      </c>
      <c r="L81" s="1" t="s">
        <v>434</v>
      </c>
      <c r="M81" s="1" t="s">
        <v>883</v>
      </c>
      <c r="N81" s="1" t="s">
        <v>13</v>
      </c>
      <c r="O81" s="1" t="s">
        <v>5147</v>
      </c>
    </row>
    <row r="82" spans="1:15" x14ac:dyDescent="0.4">
      <c r="A82" s="1" t="s">
        <v>3262</v>
      </c>
      <c r="B82" s="1" t="s">
        <v>3249</v>
      </c>
      <c r="C82" s="1" t="s">
        <v>3265</v>
      </c>
      <c r="D82" s="1" t="s">
        <v>2526</v>
      </c>
      <c r="E82" s="1" t="s">
        <v>8024</v>
      </c>
      <c r="F82" s="1" t="s">
        <v>17</v>
      </c>
      <c r="G82" s="4" t="str">
        <f>"07103"</f>
        <v>07103</v>
      </c>
      <c r="H82" s="1">
        <v>0</v>
      </c>
      <c r="I82" s="1">
        <v>0</v>
      </c>
      <c r="J82" s="1">
        <v>0</v>
      </c>
      <c r="K82" s="1">
        <v>0</v>
      </c>
      <c r="L82" s="1" t="s">
        <v>128</v>
      </c>
      <c r="M82" s="1" t="s">
        <v>3263</v>
      </c>
      <c r="N82" s="1" t="s">
        <v>13</v>
      </c>
      <c r="O82" s="1" t="s">
        <v>3264</v>
      </c>
    </row>
    <row r="83" spans="1:15" x14ac:dyDescent="0.4">
      <c r="A83" s="1" t="s">
        <v>6202</v>
      </c>
      <c r="B83" s="1" t="s">
        <v>6201</v>
      </c>
      <c r="C83" s="1" t="s">
        <v>6205</v>
      </c>
      <c r="D83" s="1" t="s">
        <v>6206</v>
      </c>
      <c r="E83" s="1" t="s">
        <v>8028</v>
      </c>
      <c r="F83" s="1" t="s">
        <v>17</v>
      </c>
      <c r="G83" s="4" t="str">
        <f>"08005"</f>
        <v>08005</v>
      </c>
      <c r="H83" s="1">
        <v>0</v>
      </c>
      <c r="I83" s="1">
        <v>0</v>
      </c>
      <c r="J83" s="1">
        <v>0</v>
      </c>
      <c r="K83" s="1">
        <v>0</v>
      </c>
      <c r="L83" s="1" t="s">
        <v>632</v>
      </c>
      <c r="M83" s="1" t="s">
        <v>6203</v>
      </c>
      <c r="N83" s="1" t="s">
        <v>13</v>
      </c>
      <c r="O83" s="1" t="s">
        <v>6204</v>
      </c>
    </row>
    <row r="84" spans="1:15" x14ac:dyDescent="0.4">
      <c r="A84" s="1" t="s">
        <v>3266</v>
      </c>
      <c r="B84" s="1" t="s">
        <v>3249</v>
      </c>
      <c r="C84" s="1" t="s">
        <v>3269</v>
      </c>
      <c r="D84" s="1" t="s">
        <v>2526</v>
      </c>
      <c r="E84" s="1" t="s">
        <v>8024</v>
      </c>
      <c r="F84" s="1" t="s">
        <v>17</v>
      </c>
      <c r="G84" s="4" t="str">
        <f>"07104-1028"</f>
        <v>07104-1028</v>
      </c>
      <c r="H84" s="1">
        <v>0</v>
      </c>
      <c r="I84" s="1">
        <v>0</v>
      </c>
      <c r="J84" s="1">
        <v>0</v>
      </c>
      <c r="K84" s="1">
        <v>0</v>
      </c>
      <c r="L84" s="1" t="s">
        <v>817</v>
      </c>
      <c r="M84" s="1" t="s">
        <v>3267</v>
      </c>
      <c r="N84" s="1" t="s">
        <v>13</v>
      </c>
      <c r="O84" s="1" t="s">
        <v>3268</v>
      </c>
    </row>
    <row r="85" spans="1:15" x14ac:dyDescent="0.4">
      <c r="A85" s="1" t="s">
        <v>4647</v>
      </c>
      <c r="B85" s="1" t="s">
        <v>4646</v>
      </c>
      <c r="C85" s="1" t="s">
        <v>4651</v>
      </c>
      <c r="D85" s="1" t="s">
        <v>4652</v>
      </c>
      <c r="E85" s="1" t="s">
        <v>4704</v>
      </c>
      <c r="F85" s="1" t="s">
        <v>17</v>
      </c>
      <c r="G85" s="4" t="str">
        <f>"08904"</f>
        <v>08904</v>
      </c>
      <c r="H85" s="1">
        <v>0</v>
      </c>
      <c r="I85" s="1">
        <v>0</v>
      </c>
      <c r="J85" s="1">
        <v>0</v>
      </c>
      <c r="K85" s="1">
        <v>0</v>
      </c>
      <c r="L85" s="1" t="s">
        <v>4648</v>
      </c>
      <c r="M85" s="1" t="s">
        <v>4649</v>
      </c>
      <c r="N85" s="1" t="s">
        <v>13</v>
      </c>
      <c r="O85" s="1" t="s">
        <v>4650</v>
      </c>
    </row>
    <row r="86" spans="1:15" x14ac:dyDescent="0.4">
      <c r="A86" s="1" t="s">
        <v>4398</v>
      </c>
      <c r="B86" s="1" t="s">
        <v>4393</v>
      </c>
      <c r="C86" s="1" t="s">
        <v>4401</v>
      </c>
      <c r="D86" s="1" t="s">
        <v>2600</v>
      </c>
      <c r="E86" s="1" t="s">
        <v>8026</v>
      </c>
      <c r="F86" s="1" t="s">
        <v>17</v>
      </c>
      <c r="G86" s="4" t="str">
        <f>"08618"</f>
        <v>08618</v>
      </c>
      <c r="H86" s="1">
        <v>0</v>
      </c>
      <c r="I86" s="1">
        <v>0</v>
      </c>
      <c r="J86" s="1">
        <v>0</v>
      </c>
      <c r="K86" s="1">
        <v>0</v>
      </c>
      <c r="L86" s="1" t="s">
        <v>4399</v>
      </c>
      <c r="M86" s="1" t="s">
        <v>2755</v>
      </c>
      <c r="N86" s="1" t="s">
        <v>13</v>
      </c>
      <c r="O86" s="1" t="s">
        <v>4400</v>
      </c>
    </row>
    <row r="87" spans="1:15" x14ac:dyDescent="0.4">
      <c r="A87" s="1" t="s">
        <v>6224</v>
      </c>
      <c r="B87" s="1" t="s">
        <v>6223</v>
      </c>
      <c r="C87" s="1" t="s">
        <v>6227</v>
      </c>
      <c r="D87" s="1" t="s">
        <v>6228</v>
      </c>
      <c r="E87" s="1" t="s">
        <v>8028</v>
      </c>
      <c r="F87" s="1" t="s">
        <v>17</v>
      </c>
      <c r="G87" s="4" t="str">
        <f>"08742"</f>
        <v>08742</v>
      </c>
      <c r="H87" s="1">
        <v>0</v>
      </c>
      <c r="I87" s="1">
        <v>0</v>
      </c>
      <c r="J87" s="1">
        <v>0</v>
      </c>
      <c r="K87" s="1">
        <v>14</v>
      </c>
      <c r="L87" s="1" t="s">
        <v>123</v>
      </c>
      <c r="M87" s="1" t="s">
        <v>6225</v>
      </c>
      <c r="N87" s="1" t="s">
        <v>13</v>
      </c>
      <c r="O87" s="1" t="s">
        <v>6226</v>
      </c>
    </row>
    <row r="88" spans="1:15" x14ac:dyDescent="0.4">
      <c r="A88" s="1" t="s">
        <v>3874</v>
      </c>
      <c r="B88" s="1" t="s">
        <v>3864</v>
      </c>
      <c r="C88" s="1" t="s">
        <v>3808</v>
      </c>
      <c r="D88" s="1" t="s">
        <v>3809</v>
      </c>
      <c r="E88" s="1" t="s">
        <v>3646</v>
      </c>
      <c r="F88" s="1" t="s">
        <v>17</v>
      </c>
      <c r="G88" s="4" t="str">
        <f>"07094-1851"</f>
        <v>07094-1851</v>
      </c>
      <c r="H88" s="1">
        <v>0</v>
      </c>
      <c r="I88" s="1">
        <v>0</v>
      </c>
      <c r="J88" s="1">
        <v>0</v>
      </c>
      <c r="K88" s="1">
        <v>0</v>
      </c>
      <c r="L88" s="1" t="s">
        <v>657</v>
      </c>
      <c r="M88" s="1" t="s">
        <v>3816</v>
      </c>
      <c r="N88" s="1" t="s">
        <v>13</v>
      </c>
      <c r="O88" s="1" t="s">
        <v>3875</v>
      </c>
    </row>
    <row r="89" spans="1:15" x14ac:dyDescent="0.4">
      <c r="A89" s="1" t="s">
        <v>3805</v>
      </c>
      <c r="B89" s="1" t="s">
        <v>3804</v>
      </c>
      <c r="C89" s="1" t="s">
        <v>3808</v>
      </c>
      <c r="D89" s="1" t="s">
        <v>3809</v>
      </c>
      <c r="E89" s="1" t="s">
        <v>3646</v>
      </c>
      <c r="F89" s="1" t="s">
        <v>17</v>
      </c>
      <c r="G89" s="4" t="str">
        <f>"07002"</f>
        <v>07002</v>
      </c>
      <c r="H89" s="1">
        <v>0</v>
      </c>
      <c r="I89" s="1">
        <v>0</v>
      </c>
      <c r="J89" s="1">
        <v>0</v>
      </c>
      <c r="K89" s="1">
        <v>0</v>
      </c>
      <c r="L89" s="1" t="s">
        <v>158</v>
      </c>
      <c r="M89" s="1" t="s">
        <v>3806</v>
      </c>
      <c r="N89" s="1" t="s">
        <v>91</v>
      </c>
      <c r="O89" s="1" t="s">
        <v>3807</v>
      </c>
    </row>
    <row r="90" spans="1:15" x14ac:dyDescent="0.4">
      <c r="A90" s="1" t="s">
        <v>3810</v>
      </c>
      <c r="B90" s="1" t="s">
        <v>3804</v>
      </c>
      <c r="C90" s="1" t="s">
        <v>3813</v>
      </c>
      <c r="D90" s="1" t="s">
        <v>3814</v>
      </c>
      <c r="E90" s="1" t="s">
        <v>3646</v>
      </c>
      <c r="F90" s="1" t="s">
        <v>17</v>
      </c>
      <c r="G90" s="4" t="str">
        <f>"07002"</f>
        <v>07002</v>
      </c>
      <c r="H90" s="1">
        <v>0</v>
      </c>
      <c r="I90" s="1">
        <v>0</v>
      </c>
      <c r="J90" s="1">
        <v>0</v>
      </c>
      <c r="K90" s="1">
        <v>0</v>
      </c>
      <c r="L90" s="1" t="s">
        <v>832</v>
      </c>
      <c r="M90" s="1" t="s">
        <v>3811</v>
      </c>
      <c r="N90" s="1" t="s">
        <v>241</v>
      </c>
      <c r="O90" s="1" t="s">
        <v>3812</v>
      </c>
    </row>
    <row r="91" spans="1:15" x14ac:dyDescent="0.4">
      <c r="A91" s="1" t="s">
        <v>5470</v>
      </c>
      <c r="B91" s="1" t="s">
        <v>5469</v>
      </c>
      <c r="C91" s="1" t="s">
        <v>5472</v>
      </c>
      <c r="D91" s="1" t="s">
        <v>5473</v>
      </c>
      <c r="E91" s="1" t="s">
        <v>8027</v>
      </c>
      <c r="F91" s="1" t="s">
        <v>17</v>
      </c>
      <c r="G91" s="4" t="str">
        <f>"07737-1796"</f>
        <v>07737-1796</v>
      </c>
      <c r="H91" s="1">
        <v>0</v>
      </c>
      <c r="I91" s="1">
        <v>0</v>
      </c>
      <c r="J91" s="1">
        <v>0</v>
      </c>
      <c r="K91" s="1">
        <v>0</v>
      </c>
      <c r="L91" s="1" t="s">
        <v>4126</v>
      </c>
      <c r="M91" s="1" t="s">
        <v>3952</v>
      </c>
      <c r="N91" s="1" t="s">
        <v>13</v>
      </c>
      <c r="O91" s="1" t="s">
        <v>5471</v>
      </c>
    </row>
    <row r="92" spans="1:15" x14ac:dyDescent="0.4">
      <c r="A92" s="1" t="s">
        <v>5474</v>
      </c>
      <c r="B92" s="1" t="s">
        <v>5469</v>
      </c>
      <c r="C92" s="1" t="s">
        <v>5477</v>
      </c>
      <c r="D92" s="1" t="s">
        <v>5478</v>
      </c>
      <c r="E92" s="1" t="s">
        <v>8027</v>
      </c>
      <c r="F92" s="1" t="s">
        <v>17</v>
      </c>
      <c r="G92" s="4" t="str">
        <f>"07718-1299"</f>
        <v>07718-1299</v>
      </c>
      <c r="H92" s="1">
        <v>0</v>
      </c>
      <c r="I92" s="1">
        <v>0</v>
      </c>
      <c r="J92" s="1">
        <v>0</v>
      </c>
      <c r="K92" s="1">
        <v>68</v>
      </c>
      <c r="L92" s="1" t="s">
        <v>1639</v>
      </c>
      <c r="M92" s="1" t="s">
        <v>5475</v>
      </c>
      <c r="N92" s="1" t="s">
        <v>13</v>
      </c>
      <c r="O92" s="1" t="s">
        <v>5476</v>
      </c>
    </row>
    <row r="93" spans="1:15" x14ac:dyDescent="0.4">
      <c r="A93" s="1" t="s">
        <v>6230</v>
      </c>
      <c r="B93" s="1" t="s">
        <v>6229</v>
      </c>
      <c r="C93" s="1" t="s">
        <v>6233</v>
      </c>
      <c r="D93" s="1" t="s">
        <v>6234</v>
      </c>
      <c r="E93" s="1" t="s">
        <v>8028</v>
      </c>
      <c r="F93" s="1" t="s">
        <v>17</v>
      </c>
      <c r="G93" s="4" t="str">
        <f>"08008"</f>
        <v>08008</v>
      </c>
      <c r="H93" s="1">
        <v>4</v>
      </c>
      <c r="I93" s="1">
        <v>7.1</v>
      </c>
      <c r="J93" s="1">
        <v>0</v>
      </c>
      <c r="K93" s="1">
        <v>5</v>
      </c>
      <c r="L93" s="1" t="s">
        <v>3728</v>
      </c>
      <c r="M93" s="1" t="s">
        <v>6231</v>
      </c>
      <c r="N93" s="1" t="s">
        <v>129</v>
      </c>
      <c r="O93" s="1" t="s">
        <v>6232</v>
      </c>
    </row>
    <row r="94" spans="1:15" x14ac:dyDescent="0.4">
      <c r="A94" s="1" t="s">
        <v>6475</v>
      </c>
      <c r="B94" s="1" t="s">
        <v>6474</v>
      </c>
      <c r="C94" s="1" t="s">
        <v>6478</v>
      </c>
      <c r="D94" s="1" t="s">
        <v>6479</v>
      </c>
      <c r="E94" s="1" t="s">
        <v>8028</v>
      </c>
      <c r="F94" s="1" t="s">
        <v>17</v>
      </c>
      <c r="G94" s="4" t="str">
        <f>"08722"</f>
        <v>08722</v>
      </c>
      <c r="H94" s="1">
        <v>0</v>
      </c>
      <c r="I94" s="1">
        <v>0</v>
      </c>
      <c r="J94" s="1">
        <v>0</v>
      </c>
      <c r="K94" s="1">
        <v>96</v>
      </c>
      <c r="L94" s="1" t="s">
        <v>180</v>
      </c>
      <c r="M94" s="1" t="s">
        <v>6476</v>
      </c>
      <c r="N94" s="1" t="s">
        <v>13</v>
      </c>
      <c r="O94" s="1" t="s">
        <v>6477</v>
      </c>
    </row>
    <row r="95" spans="1:15" x14ac:dyDescent="0.4">
      <c r="A95" s="1" t="s">
        <v>6943</v>
      </c>
      <c r="B95" s="1" t="s">
        <v>6942</v>
      </c>
      <c r="C95" s="1" t="s">
        <v>6945</v>
      </c>
      <c r="D95" s="1" t="s">
        <v>6946</v>
      </c>
      <c r="E95" s="1" t="s">
        <v>2670</v>
      </c>
      <c r="F95" s="1" t="s">
        <v>17</v>
      </c>
      <c r="G95" s="4" t="str">
        <f>"07424-2538"</f>
        <v>07424-2538</v>
      </c>
      <c r="H95" s="1">
        <v>0</v>
      </c>
      <c r="I95" s="1">
        <v>0</v>
      </c>
      <c r="J95" s="1">
        <v>0</v>
      </c>
      <c r="K95" s="1">
        <v>0</v>
      </c>
      <c r="L95" s="1" t="s">
        <v>18</v>
      </c>
      <c r="M95" s="1" t="s">
        <v>2736</v>
      </c>
      <c r="N95" s="1" t="s">
        <v>13</v>
      </c>
      <c r="O95" s="1" t="s">
        <v>6944</v>
      </c>
    </row>
    <row r="96" spans="1:15" x14ac:dyDescent="0.4">
      <c r="A96" s="1" t="s">
        <v>7611</v>
      </c>
      <c r="B96" s="1" t="s">
        <v>7610</v>
      </c>
      <c r="C96" s="1" t="s">
        <v>7614</v>
      </c>
      <c r="D96" s="1" t="s">
        <v>7615</v>
      </c>
      <c r="E96" s="1" t="s">
        <v>7833</v>
      </c>
      <c r="F96" s="1" t="s">
        <v>17</v>
      </c>
      <c r="G96" s="4" t="str">
        <f>"07092"</f>
        <v>07092</v>
      </c>
      <c r="H96" s="1">
        <v>0</v>
      </c>
      <c r="I96" s="1">
        <v>0</v>
      </c>
      <c r="J96" s="1">
        <v>0</v>
      </c>
      <c r="K96" s="1">
        <v>71</v>
      </c>
      <c r="L96" s="1" t="s">
        <v>18</v>
      </c>
      <c r="M96" s="1" t="s">
        <v>7612</v>
      </c>
      <c r="N96" s="1" t="s">
        <v>13</v>
      </c>
      <c r="O96" s="1" t="s">
        <v>7613</v>
      </c>
    </row>
    <row r="97" spans="1:15" x14ac:dyDescent="0.4">
      <c r="A97" s="1" t="s">
        <v>5252</v>
      </c>
      <c r="B97" s="1" t="s">
        <v>5251</v>
      </c>
      <c r="C97" s="1" t="s">
        <v>5256</v>
      </c>
      <c r="D97" s="1" t="s">
        <v>5257</v>
      </c>
      <c r="E97" s="1" t="s">
        <v>8027</v>
      </c>
      <c r="F97" s="1" t="s">
        <v>17</v>
      </c>
      <c r="G97" s="4" t="str">
        <f>"07730-1405"</f>
        <v>07730-1405</v>
      </c>
      <c r="H97" s="1">
        <v>0</v>
      </c>
      <c r="I97" s="1">
        <v>0</v>
      </c>
      <c r="J97" s="1">
        <v>0</v>
      </c>
      <c r="K97" s="1">
        <v>0</v>
      </c>
      <c r="L97" s="1" t="s">
        <v>5253</v>
      </c>
      <c r="M97" s="1" t="s">
        <v>5254</v>
      </c>
      <c r="N97" s="1" t="s">
        <v>13</v>
      </c>
      <c r="O97" s="1" t="s">
        <v>5255</v>
      </c>
    </row>
    <row r="98" spans="1:15" x14ac:dyDescent="0.4">
      <c r="A98" s="1" t="s">
        <v>299</v>
      </c>
      <c r="B98" s="1" t="s">
        <v>291</v>
      </c>
      <c r="C98" s="1" t="s">
        <v>296</v>
      </c>
      <c r="D98" s="1" t="s">
        <v>297</v>
      </c>
      <c r="E98" s="1" t="s">
        <v>8018</v>
      </c>
      <c r="F98" s="1" t="s">
        <v>17</v>
      </c>
      <c r="G98" s="4" t="str">
        <f>"07652-4832"</f>
        <v>07652-4832</v>
      </c>
      <c r="H98" s="1">
        <v>0</v>
      </c>
      <c r="I98" s="1">
        <v>0</v>
      </c>
      <c r="J98" s="1">
        <v>0</v>
      </c>
      <c r="K98" s="1">
        <v>1</v>
      </c>
      <c r="L98" s="1" t="s">
        <v>128</v>
      </c>
      <c r="M98" s="1" t="s">
        <v>300</v>
      </c>
      <c r="N98" s="1" t="s">
        <v>13</v>
      </c>
      <c r="O98" s="1" t="s">
        <v>301</v>
      </c>
    </row>
    <row r="99" spans="1:15" x14ac:dyDescent="0.4">
      <c r="A99" s="1" t="s">
        <v>192</v>
      </c>
      <c r="B99" s="1" t="s">
        <v>191</v>
      </c>
      <c r="C99" s="1" t="s">
        <v>195</v>
      </c>
      <c r="D99" s="1" t="s">
        <v>196</v>
      </c>
      <c r="E99" s="1" t="s">
        <v>8017</v>
      </c>
      <c r="F99" s="1" t="s">
        <v>17</v>
      </c>
      <c r="G99" s="4" t="str">
        <f>"08221"</f>
        <v>08221</v>
      </c>
      <c r="H99" s="1">
        <v>0</v>
      </c>
      <c r="I99" s="1">
        <v>0</v>
      </c>
      <c r="J99" s="1">
        <v>0</v>
      </c>
      <c r="K99" s="1">
        <v>0</v>
      </c>
      <c r="L99" s="1" t="s">
        <v>38</v>
      </c>
      <c r="M99" s="1" t="s">
        <v>193</v>
      </c>
      <c r="N99" s="1" t="s">
        <v>13</v>
      </c>
      <c r="O99" s="1" t="s">
        <v>194</v>
      </c>
    </row>
    <row r="100" spans="1:15" x14ac:dyDescent="0.4">
      <c r="A100" s="1" t="s">
        <v>1838</v>
      </c>
      <c r="B100" s="1" t="s">
        <v>1837</v>
      </c>
      <c r="C100" s="1" t="s">
        <v>1841</v>
      </c>
      <c r="D100" s="1" t="s">
        <v>1842</v>
      </c>
      <c r="E100" s="1" t="s">
        <v>1909</v>
      </c>
      <c r="F100" s="1" t="s">
        <v>17</v>
      </c>
      <c r="G100" s="4" t="str">
        <f>"08031"</f>
        <v>08031</v>
      </c>
      <c r="H100" s="1">
        <v>0</v>
      </c>
      <c r="I100" s="1">
        <v>0</v>
      </c>
      <c r="J100" s="1">
        <v>0</v>
      </c>
      <c r="K100" s="1">
        <v>0</v>
      </c>
      <c r="L100" s="1" t="s">
        <v>267</v>
      </c>
      <c r="M100" s="1" t="s">
        <v>1839</v>
      </c>
      <c r="N100" s="1" t="s">
        <v>13</v>
      </c>
      <c r="O100" s="1" t="s">
        <v>1840</v>
      </c>
    </row>
    <row r="101" spans="1:15" x14ac:dyDescent="0.4">
      <c r="A101" s="1" t="s">
        <v>2936</v>
      </c>
      <c r="B101" s="1" t="s">
        <v>2935</v>
      </c>
      <c r="C101" s="1" t="s">
        <v>2940</v>
      </c>
      <c r="D101" s="1" t="s">
        <v>2941</v>
      </c>
      <c r="E101" s="1" t="s">
        <v>8024</v>
      </c>
      <c r="F101" s="1" t="s">
        <v>17</v>
      </c>
      <c r="G101" s="4" t="str">
        <f>"07109-1807"</f>
        <v>07109-1807</v>
      </c>
      <c r="H101" s="1">
        <v>0</v>
      </c>
      <c r="I101" s="1">
        <v>0</v>
      </c>
      <c r="J101" s="1">
        <v>0</v>
      </c>
      <c r="K101" s="1">
        <v>0</v>
      </c>
      <c r="L101" s="1" t="s">
        <v>2937</v>
      </c>
      <c r="M101" s="1" t="s">
        <v>2938</v>
      </c>
      <c r="N101" s="1" t="s">
        <v>13</v>
      </c>
      <c r="O101" s="1" t="s">
        <v>2939</v>
      </c>
    </row>
    <row r="102" spans="1:15" x14ac:dyDescent="0.4">
      <c r="A102" s="1" t="s">
        <v>2943</v>
      </c>
      <c r="B102" s="1" t="s">
        <v>2935</v>
      </c>
      <c r="C102" s="1" t="s">
        <v>2946</v>
      </c>
      <c r="D102" s="1" t="s">
        <v>2941</v>
      </c>
      <c r="E102" s="1" t="s">
        <v>8024</v>
      </c>
      <c r="F102" s="1" t="s">
        <v>17</v>
      </c>
      <c r="G102" s="4" t="str">
        <f>"07109-3150"</f>
        <v>07109-3150</v>
      </c>
      <c r="H102" s="1">
        <v>0</v>
      </c>
      <c r="I102" s="1">
        <v>0</v>
      </c>
      <c r="J102" s="1">
        <v>0</v>
      </c>
      <c r="K102" s="1">
        <v>0</v>
      </c>
      <c r="L102" s="1" t="s">
        <v>665</v>
      </c>
      <c r="M102" s="1" t="s">
        <v>2944</v>
      </c>
      <c r="N102" s="1" t="s">
        <v>13</v>
      </c>
      <c r="O102" s="1" t="s">
        <v>2945</v>
      </c>
    </row>
    <row r="103" spans="1:15" x14ac:dyDescent="0.4">
      <c r="A103" s="1" t="s">
        <v>2947</v>
      </c>
      <c r="B103" s="1" t="s">
        <v>2935</v>
      </c>
      <c r="C103" s="1" t="s">
        <v>2950</v>
      </c>
      <c r="D103" s="1" t="s">
        <v>2941</v>
      </c>
      <c r="E103" s="1" t="s">
        <v>8024</v>
      </c>
      <c r="F103" s="1" t="s">
        <v>17</v>
      </c>
      <c r="G103" s="4" t="str">
        <f>"07109-3210"</f>
        <v>07109-3210</v>
      </c>
      <c r="H103" s="1">
        <v>0</v>
      </c>
      <c r="I103" s="1">
        <v>0</v>
      </c>
      <c r="J103" s="1">
        <v>0</v>
      </c>
      <c r="K103" s="1">
        <v>40</v>
      </c>
      <c r="L103" s="1" t="s">
        <v>1038</v>
      </c>
      <c r="M103" s="1" t="s">
        <v>2948</v>
      </c>
      <c r="N103" s="1" t="s">
        <v>13</v>
      </c>
      <c r="O103" s="1" t="s">
        <v>2949</v>
      </c>
    </row>
    <row r="104" spans="1:15" x14ac:dyDescent="0.4">
      <c r="A104" s="1" t="s">
        <v>2953</v>
      </c>
      <c r="B104" s="1" t="s">
        <v>2935</v>
      </c>
      <c r="C104" s="1" t="s">
        <v>2957</v>
      </c>
      <c r="D104" s="1" t="s">
        <v>2941</v>
      </c>
      <c r="E104" s="1" t="s">
        <v>8024</v>
      </c>
      <c r="F104" s="1" t="s">
        <v>17</v>
      </c>
      <c r="G104" s="4" t="str">
        <f>"07109-3309"</f>
        <v>07109-3309</v>
      </c>
      <c r="H104" s="1">
        <v>0</v>
      </c>
      <c r="I104" s="1">
        <v>0</v>
      </c>
      <c r="J104" s="1">
        <v>0</v>
      </c>
      <c r="K104" s="1">
        <v>20</v>
      </c>
      <c r="L104" s="1" t="s">
        <v>2954</v>
      </c>
      <c r="M104" s="1" t="s">
        <v>2955</v>
      </c>
      <c r="N104" s="1" t="s">
        <v>13</v>
      </c>
      <c r="O104" s="1" t="s">
        <v>2956</v>
      </c>
    </row>
    <row r="105" spans="1:15" x14ac:dyDescent="0.4">
      <c r="A105" s="1" t="s">
        <v>3742</v>
      </c>
      <c r="B105" s="1" t="s">
        <v>3741</v>
      </c>
      <c r="C105" s="1" t="s">
        <v>3746</v>
      </c>
      <c r="D105" s="1" t="s">
        <v>3747</v>
      </c>
      <c r="E105" s="1" t="s">
        <v>8020</v>
      </c>
      <c r="F105" s="1" t="s">
        <v>17</v>
      </c>
      <c r="G105" s="4" t="str">
        <f>"08012"</f>
        <v>08012</v>
      </c>
      <c r="H105" s="1">
        <v>0</v>
      </c>
      <c r="I105" s="1">
        <v>0</v>
      </c>
      <c r="J105" s="1">
        <v>0</v>
      </c>
      <c r="K105" s="1">
        <v>87</v>
      </c>
      <c r="L105" s="1" t="s">
        <v>3743</v>
      </c>
      <c r="M105" s="1" t="s">
        <v>3744</v>
      </c>
      <c r="N105" s="1" t="s">
        <v>241</v>
      </c>
      <c r="O105" s="1" t="s">
        <v>3745</v>
      </c>
    </row>
    <row r="106" spans="1:15" x14ac:dyDescent="0.4">
      <c r="A106" s="1" t="s">
        <v>2434</v>
      </c>
      <c r="B106" s="1" t="s">
        <v>2433</v>
      </c>
      <c r="C106" s="1" t="s">
        <v>2438</v>
      </c>
      <c r="D106" s="1" t="s">
        <v>2439</v>
      </c>
      <c r="E106" s="1" t="s">
        <v>8022</v>
      </c>
      <c r="F106" s="1" t="s">
        <v>17</v>
      </c>
      <c r="G106" s="4" t="str">
        <f>"07302"</f>
        <v>07302</v>
      </c>
      <c r="H106" s="1">
        <v>0</v>
      </c>
      <c r="I106" s="1">
        <v>0</v>
      </c>
      <c r="J106" s="1">
        <v>0</v>
      </c>
      <c r="K106" s="1">
        <v>119</v>
      </c>
      <c r="L106" s="1" t="s">
        <v>2435</v>
      </c>
      <c r="M106" s="1" t="s">
        <v>2436</v>
      </c>
      <c r="N106" s="1" t="s">
        <v>13</v>
      </c>
      <c r="O106" s="1" t="s">
        <v>2437</v>
      </c>
    </row>
    <row r="107" spans="1:15" x14ac:dyDescent="0.4">
      <c r="A107" s="1" t="s">
        <v>7906</v>
      </c>
      <c r="B107" s="1" t="s">
        <v>7902</v>
      </c>
      <c r="C107" s="1" t="s">
        <v>7907</v>
      </c>
      <c r="D107" s="1" t="s">
        <v>7905</v>
      </c>
      <c r="E107" s="1" t="s">
        <v>55</v>
      </c>
      <c r="F107" s="1" t="s">
        <v>17</v>
      </c>
      <c r="G107" s="4" t="str">
        <f>"07823"</f>
        <v>07823</v>
      </c>
      <c r="H107" s="1">
        <v>0</v>
      </c>
      <c r="I107" s="1">
        <v>0</v>
      </c>
      <c r="J107" s="1">
        <v>0</v>
      </c>
      <c r="K107" s="1">
        <v>0</v>
      </c>
      <c r="L107" s="1" t="s">
        <v>380</v>
      </c>
      <c r="M107" s="1" t="s">
        <v>7903</v>
      </c>
      <c r="N107" s="1" t="s">
        <v>13</v>
      </c>
      <c r="O107" s="1" t="s">
        <v>7904</v>
      </c>
    </row>
    <row r="108" spans="1:15" x14ac:dyDescent="0.4">
      <c r="A108" s="1" t="s">
        <v>2440</v>
      </c>
      <c r="B108" s="1" t="s">
        <v>2440</v>
      </c>
      <c r="C108" s="1" t="s">
        <v>2443</v>
      </c>
      <c r="D108" s="1" t="s">
        <v>1771</v>
      </c>
      <c r="E108" s="1" t="s">
        <v>8022</v>
      </c>
      <c r="F108" s="1" t="s">
        <v>17</v>
      </c>
      <c r="G108" s="4" t="str">
        <f>"08046"</f>
        <v>08046</v>
      </c>
      <c r="H108" s="1">
        <v>0</v>
      </c>
      <c r="I108" s="1">
        <v>0</v>
      </c>
      <c r="J108" s="1">
        <v>0</v>
      </c>
      <c r="K108" s="1">
        <v>40</v>
      </c>
      <c r="L108" s="1" t="s">
        <v>143</v>
      </c>
      <c r="M108" s="1" t="s">
        <v>2441</v>
      </c>
      <c r="N108" s="1" t="s">
        <v>13</v>
      </c>
      <c r="O108" s="1" t="s">
        <v>2442</v>
      </c>
    </row>
    <row r="109" spans="1:15" x14ac:dyDescent="0.4">
      <c r="A109" s="1" t="s">
        <v>4402</v>
      </c>
      <c r="B109" s="1" t="s">
        <v>4393</v>
      </c>
      <c r="C109" s="1" t="s">
        <v>4405</v>
      </c>
      <c r="D109" s="1" t="s">
        <v>2600</v>
      </c>
      <c r="E109" s="1" t="s">
        <v>8026</v>
      </c>
      <c r="F109" s="1" t="s">
        <v>17</v>
      </c>
      <c r="G109" s="4" t="str">
        <f>"08618-4459"</f>
        <v>08618-4459</v>
      </c>
      <c r="H109" s="1">
        <v>0</v>
      </c>
      <c r="I109" s="1">
        <v>0</v>
      </c>
      <c r="J109" s="1">
        <v>0</v>
      </c>
      <c r="K109" s="1">
        <v>82</v>
      </c>
      <c r="L109" s="1" t="s">
        <v>3401</v>
      </c>
      <c r="M109" s="1" t="s">
        <v>4403</v>
      </c>
      <c r="N109" s="1" t="s">
        <v>13</v>
      </c>
      <c r="O109" s="1" t="s">
        <v>4404</v>
      </c>
    </row>
    <row r="110" spans="1:15" x14ac:dyDescent="0.4">
      <c r="A110" s="1" t="s">
        <v>1059</v>
      </c>
      <c r="B110" s="1" t="s">
        <v>1058</v>
      </c>
      <c r="C110" s="1" t="s">
        <v>1062</v>
      </c>
      <c r="D110" s="1" t="s">
        <v>1063</v>
      </c>
      <c r="E110" s="1" t="s">
        <v>8018</v>
      </c>
      <c r="F110" s="1" t="s">
        <v>17</v>
      </c>
      <c r="G110" s="4" t="str">
        <f>"07451"</f>
        <v>07451</v>
      </c>
      <c r="H110" s="1">
        <v>0</v>
      </c>
      <c r="I110" s="1">
        <v>0</v>
      </c>
      <c r="J110" s="1">
        <v>0</v>
      </c>
      <c r="K110" s="1">
        <v>0</v>
      </c>
      <c r="L110" s="1" t="s">
        <v>1027</v>
      </c>
      <c r="M110" s="1" t="s">
        <v>1060</v>
      </c>
      <c r="N110" s="1" t="s">
        <v>13</v>
      </c>
      <c r="O110" s="1" t="s">
        <v>1061</v>
      </c>
    </row>
    <row r="111" spans="1:15" x14ac:dyDescent="0.4">
      <c r="A111" s="1" t="s">
        <v>1059</v>
      </c>
      <c r="B111" s="1" t="s">
        <v>1191</v>
      </c>
      <c r="C111" s="1" t="s">
        <v>1194</v>
      </c>
      <c r="D111" s="1" t="s">
        <v>1195</v>
      </c>
      <c r="E111" s="1" t="s">
        <v>8018</v>
      </c>
      <c r="F111" s="1" t="s">
        <v>17</v>
      </c>
      <c r="G111" s="4" t="str">
        <f>"07666"</f>
        <v>07666</v>
      </c>
      <c r="H111" s="1">
        <v>0</v>
      </c>
      <c r="I111" s="1">
        <v>0</v>
      </c>
      <c r="J111" s="1">
        <v>0</v>
      </c>
      <c r="K111" s="1">
        <v>0</v>
      </c>
      <c r="L111" s="1" t="s">
        <v>1192</v>
      </c>
      <c r="M111" s="1" t="s">
        <v>39</v>
      </c>
      <c r="N111" s="1" t="s">
        <v>13</v>
      </c>
      <c r="O111" s="1" t="s">
        <v>1193</v>
      </c>
    </row>
    <row r="112" spans="1:15" x14ac:dyDescent="0.4">
      <c r="A112" s="1" t="s">
        <v>7490</v>
      </c>
      <c r="B112" s="1" t="s">
        <v>7477</v>
      </c>
      <c r="C112" s="1" t="s">
        <v>7493</v>
      </c>
      <c r="D112" s="1" t="s">
        <v>3890</v>
      </c>
      <c r="E112" s="1" t="s">
        <v>7833</v>
      </c>
      <c r="F112" s="1" t="s">
        <v>17</v>
      </c>
      <c r="G112" s="4" t="str">
        <f>"07206-2122"</f>
        <v>07206-2122</v>
      </c>
      <c r="H112" s="1">
        <v>0</v>
      </c>
      <c r="I112" s="1">
        <v>0</v>
      </c>
      <c r="J112" s="1">
        <v>0</v>
      </c>
      <c r="K112" s="1">
        <v>27</v>
      </c>
      <c r="L112" s="1" t="s">
        <v>7491</v>
      </c>
      <c r="M112" s="1" t="s">
        <v>663</v>
      </c>
      <c r="N112" s="1" t="s">
        <v>13</v>
      </c>
      <c r="O112" s="1" t="s">
        <v>7492</v>
      </c>
    </row>
    <row r="113" spans="1:15" x14ac:dyDescent="0.4">
      <c r="A113" s="1" t="s">
        <v>2445</v>
      </c>
      <c r="B113" s="1" t="s">
        <v>2444</v>
      </c>
      <c r="C113" s="1" t="s">
        <v>2449</v>
      </c>
      <c r="D113" s="1" t="s">
        <v>650</v>
      </c>
      <c r="E113" s="1" t="s">
        <v>8022</v>
      </c>
      <c r="F113" s="1" t="s">
        <v>17</v>
      </c>
      <c r="G113" s="4" t="str">
        <f>"07026"</f>
        <v>07026</v>
      </c>
      <c r="H113" s="1">
        <v>0</v>
      </c>
      <c r="I113" s="1">
        <v>0</v>
      </c>
      <c r="J113" s="1">
        <v>0</v>
      </c>
      <c r="K113" s="1">
        <v>101</v>
      </c>
      <c r="L113" s="1" t="s">
        <v>2446</v>
      </c>
      <c r="M113" s="1" t="s">
        <v>2447</v>
      </c>
      <c r="N113" s="1" t="s">
        <v>91</v>
      </c>
      <c r="O113" s="1" t="s">
        <v>2448</v>
      </c>
    </row>
    <row r="114" spans="1:15" x14ac:dyDescent="0.4">
      <c r="A114" s="1" t="s">
        <v>1044</v>
      </c>
      <c r="B114" s="1" t="s">
        <v>1043</v>
      </c>
      <c r="C114" s="1" t="s">
        <v>1047</v>
      </c>
      <c r="D114" s="1" t="s">
        <v>1048</v>
      </c>
      <c r="E114" s="1" t="s">
        <v>8018</v>
      </c>
      <c r="F114" s="1" t="s">
        <v>17</v>
      </c>
      <c r="G114" s="4" t="str">
        <f>"07657"</f>
        <v>07657</v>
      </c>
      <c r="H114" s="1">
        <v>0</v>
      </c>
      <c r="I114" s="1">
        <v>0</v>
      </c>
      <c r="J114" s="1">
        <v>0</v>
      </c>
      <c r="K114" s="1">
        <v>0</v>
      </c>
      <c r="L114" s="1" t="s">
        <v>490</v>
      </c>
      <c r="M114" s="1" t="s">
        <v>1045</v>
      </c>
      <c r="N114" s="1" t="s">
        <v>13</v>
      </c>
      <c r="O114" s="1" t="s">
        <v>1046</v>
      </c>
    </row>
    <row r="115" spans="1:15" x14ac:dyDescent="0.4">
      <c r="A115" s="1" t="s">
        <v>322</v>
      </c>
      <c r="B115" s="1" t="s">
        <v>316</v>
      </c>
      <c r="C115" s="1" t="s">
        <v>325</v>
      </c>
      <c r="D115" s="1" t="s">
        <v>326</v>
      </c>
      <c r="E115" s="1" t="s">
        <v>8018</v>
      </c>
      <c r="F115" s="1" t="s">
        <v>17</v>
      </c>
      <c r="G115" s="4" t="str">
        <f>"07601-6110"</f>
        <v>07601-6110</v>
      </c>
      <c r="H115" s="1">
        <v>0</v>
      </c>
      <c r="I115" s="1">
        <v>0</v>
      </c>
      <c r="J115" s="1">
        <v>0</v>
      </c>
      <c r="K115" s="1">
        <v>0</v>
      </c>
      <c r="L115" s="1" t="s">
        <v>323</v>
      </c>
      <c r="M115" s="1" t="s">
        <v>315</v>
      </c>
      <c r="N115" s="1" t="s">
        <v>13</v>
      </c>
      <c r="O115" s="1" t="s">
        <v>324</v>
      </c>
    </row>
    <row r="116" spans="1:15" x14ac:dyDescent="0.4">
      <c r="A116" s="1" t="s">
        <v>328</v>
      </c>
      <c r="B116" s="1" t="s">
        <v>316</v>
      </c>
      <c r="C116" s="1" t="s">
        <v>332</v>
      </c>
      <c r="D116" s="1" t="s">
        <v>333</v>
      </c>
      <c r="E116" s="1" t="s">
        <v>8018</v>
      </c>
      <c r="F116" s="1" t="s">
        <v>17</v>
      </c>
      <c r="G116" s="4" t="str">
        <f>"07627"</f>
        <v>07627</v>
      </c>
      <c r="H116" s="1">
        <v>0</v>
      </c>
      <c r="I116" s="1">
        <v>0</v>
      </c>
      <c r="J116" s="1">
        <v>0</v>
      </c>
      <c r="K116" s="1">
        <v>0</v>
      </c>
      <c r="L116" s="1" t="s">
        <v>329</v>
      </c>
      <c r="M116" s="1" t="s">
        <v>330</v>
      </c>
      <c r="N116" s="1" t="s">
        <v>13</v>
      </c>
      <c r="O116" s="1" t="s">
        <v>331</v>
      </c>
    </row>
    <row r="117" spans="1:15" x14ac:dyDescent="0.4">
      <c r="A117" s="1" t="s">
        <v>335</v>
      </c>
      <c r="B117" s="1" t="s">
        <v>316</v>
      </c>
      <c r="C117" s="1" t="s">
        <v>339</v>
      </c>
      <c r="D117" s="1" t="s">
        <v>297</v>
      </c>
      <c r="E117" s="1" t="s">
        <v>8018</v>
      </c>
      <c r="F117" s="1" t="s">
        <v>17</v>
      </c>
      <c r="G117" s="4" t="str">
        <f>"07652-4237"</f>
        <v>07652-4237</v>
      </c>
      <c r="H117" s="1">
        <v>0</v>
      </c>
      <c r="I117" s="1">
        <v>0</v>
      </c>
      <c r="J117" s="1">
        <v>0</v>
      </c>
      <c r="K117" s="1">
        <v>0</v>
      </c>
      <c r="L117" s="1" t="s">
        <v>336</v>
      </c>
      <c r="M117" s="1" t="s">
        <v>337</v>
      </c>
      <c r="N117" s="1" t="s">
        <v>13</v>
      </c>
      <c r="O117" s="1" t="s">
        <v>338</v>
      </c>
    </row>
    <row r="118" spans="1:15" x14ac:dyDescent="0.4">
      <c r="A118" s="1" t="s">
        <v>335</v>
      </c>
      <c r="B118" s="1" t="s">
        <v>316</v>
      </c>
      <c r="C118" s="1" t="s">
        <v>339</v>
      </c>
      <c r="D118" s="1" t="s">
        <v>297</v>
      </c>
      <c r="E118" s="1" t="s">
        <v>8018</v>
      </c>
      <c r="F118" s="1" t="s">
        <v>17</v>
      </c>
      <c r="G118" s="4" t="str">
        <f>"07652-4237"</f>
        <v>07652-4237</v>
      </c>
      <c r="H118" s="1">
        <v>0</v>
      </c>
      <c r="I118" s="1">
        <v>0</v>
      </c>
      <c r="J118" s="1">
        <v>0</v>
      </c>
      <c r="K118" s="1">
        <v>0</v>
      </c>
      <c r="L118" s="1" t="s">
        <v>336</v>
      </c>
      <c r="M118" s="1" t="s">
        <v>337</v>
      </c>
      <c r="N118" s="1" t="s">
        <v>13</v>
      </c>
      <c r="O118" s="1" t="s">
        <v>338</v>
      </c>
    </row>
    <row r="119" spans="1:15" x14ac:dyDescent="0.4">
      <c r="A119" s="1" t="s">
        <v>341</v>
      </c>
      <c r="B119" s="1" t="s">
        <v>316</v>
      </c>
      <c r="C119" s="1" t="s">
        <v>344</v>
      </c>
      <c r="D119" s="1" t="s">
        <v>345</v>
      </c>
      <c r="E119" s="1" t="s">
        <v>8018</v>
      </c>
      <c r="F119" s="1" t="s">
        <v>17</v>
      </c>
      <c r="G119" s="4" t="str">
        <f>"07608"</f>
        <v>07608</v>
      </c>
      <c r="H119" s="1">
        <v>0</v>
      </c>
      <c r="I119" s="1">
        <v>0</v>
      </c>
      <c r="J119" s="1">
        <v>0</v>
      </c>
      <c r="K119" s="1">
        <v>0</v>
      </c>
      <c r="L119" s="1" t="s">
        <v>128</v>
      </c>
      <c r="M119" s="1" t="s">
        <v>342</v>
      </c>
      <c r="N119" s="1" t="s">
        <v>13</v>
      </c>
      <c r="O119" s="1" t="s">
        <v>343</v>
      </c>
    </row>
    <row r="120" spans="1:15" x14ac:dyDescent="0.4">
      <c r="A120" s="1" t="s">
        <v>349</v>
      </c>
      <c r="B120" s="1" t="s">
        <v>348</v>
      </c>
      <c r="C120" s="1" t="s">
        <v>352</v>
      </c>
      <c r="D120" s="1" t="s">
        <v>353</v>
      </c>
      <c r="E120" s="1" t="s">
        <v>8018</v>
      </c>
      <c r="F120" s="1" t="s">
        <v>17</v>
      </c>
      <c r="G120" s="4" t="str">
        <f>"07621-1958"</f>
        <v>07621-1958</v>
      </c>
      <c r="H120" s="1">
        <v>0</v>
      </c>
      <c r="I120" s="1">
        <v>0</v>
      </c>
      <c r="J120" s="1">
        <v>0</v>
      </c>
      <c r="K120" s="1">
        <v>0</v>
      </c>
      <c r="L120" s="1" t="s">
        <v>306</v>
      </c>
      <c r="M120" s="1" t="s">
        <v>350</v>
      </c>
      <c r="N120" s="1" t="s">
        <v>13</v>
      </c>
      <c r="O120" s="1" t="s">
        <v>351</v>
      </c>
    </row>
    <row r="121" spans="1:15" x14ac:dyDescent="0.4">
      <c r="A121" s="1" t="s">
        <v>1290</v>
      </c>
      <c r="B121" s="1" t="s">
        <v>1289</v>
      </c>
      <c r="C121" s="1" t="s">
        <v>1293</v>
      </c>
      <c r="D121" s="1" t="s">
        <v>1294</v>
      </c>
      <c r="E121" s="1" t="s">
        <v>8018</v>
      </c>
      <c r="F121" s="1" t="s">
        <v>17</v>
      </c>
      <c r="G121" s="4" t="str">
        <f>"07675-2401"</f>
        <v>07675-2401</v>
      </c>
      <c r="H121" s="1">
        <v>0</v>
      </c>
      <c r="I121" s="1">
        <v>0</v>
      </c>
      <c r="J121" s="1">
        <v>0</v>
      </c>
      <c r="K121" s="1">
        <v>53</v>
      </c>
      <c r="L121" s="1" t="s">
        <v>158</v>
      </c>
      <c r="M121" s="1" t="s">
        <v>1291</v>
      </c>
      <c r="N121" s="1" t="s">
        <v>13</v>
      </c>
      <c r="O121" s="1" t="s">
        <v>1292</v>
      </c>
    </row>
    <row r="122" spans="1:15" x14ac:dyDescent="0.4">
      <c r="A122" s="1" t="s">
        <v>2959</v>
      </c>
      <c r="B122" s="1" t="s">
        <v>2958</v>
      </c>
      <c r="C122" s="1" t="s">
        <v>2963</v>
      </c>
      <c r="D122" s="1" t="s">
        <v>2964</v>
      </c>
      <c r="E122" s="1" t="s">
        <v>8024</v>
      </c>
      <c r="F122" s="1" t="s">
        <v>17</v>
      </c>
      <c r="G122" s="4" t="str">
        <f>"07003-4804"</f>
        <v>07003-4804</v>
      </c>
      <c r="H122" s="1">
        <v>0</v>
      </c>
      <c r="I122" s="1">
        <v>0</v>
      </c>
      <c r="J122" s="1">
        <v>0</v>
      </c>
      <c r="K122" s="1">
        <v>57</v>
      </c>
      <c r="L122" s="1" t="s">
        <v>2960</v>
      </c>
      <c r="M122" s="1" t="s">
        <v>2961</v>
      </c>
      <c r="N122" s="1" t="s">
        <v>13</v>
      </c>
      <c r="O122" s="1" t="s">
        <v>2962</v>
      </c>
    </row>
    <row r="123" spans="1:15" x14ac:dyDescent="0.4">
      <c r="A123" s="1" t="s">
        <v>6237</v>
      </c>
      <c r="B123" s="1" t="s">
        <v>6235</v>
      </c>
      <c r="C123" s="1" t="s">
        <v>6240</v>
      </c>
      <c r="D123" s="1" t="s">
        <v>6236</v>
      </c>
      <c r="E123" s="1" t="s">
        <v>8028</v>
      </c>
      <c r="F123" s="1" t="s">
        <v>17</v>
      </c>
      <c r="G123" s="4" t="str">
        <f>"08721"</f>
        <v>08721</v>
      </c>
      <c r="H123" s="1">
        <v>0</v>
      </c>
      <c r="I123" s="1">
        <v>0</v>
      </c>
      <c r="J123" s="1">
        <v>0</v>
      </c>
      <c r="K123" s="1">
        <v>0</v>
      </c>
      <c r="L123" s="1" t="s">
        <v>146</v>
      </c>
      <c r="M123" s="1" t="s">
        <v>6238</v>
      </c>
      <c r="N123" s="1" t="s">
        <v>13</v>
      </c>
      <c r="O123" s="1" t="s">
        <v>6239</v>
      </c>
    </row>
    <row r="124" spans="1:15" x14ac:dyDescent="0.4">
      <c r="A124" s="1" t="s">
        <v>857</v>
      </c>
      <c r="B124" s="1" t="s">
        <v>856</v>
      </c>
      <c r="C124" s="1" t="s">
        <v>861</v>
      </c>
      <c r="D124" s="1" t="s">
        <v>862</v>
      </c>
      <c r="E124" s="1" t="s">
        <v>8018</v>
      </c>
      <c r="F124" s="1" t="s">
        <v>17</v>
      </c>
      <c r="G124" s="4" t="str">
        <f>"07646"</f>
        <v>07646</v>
      </c>
      <c r="H124" s="1">
        <v>4</v>
      </c>
      <c r="I124" s="1">
        <v>1</v>
      </c>
      <c r="J124" s="1">
        <v>0</v>
      </c>
      <c r="K124" s="1">
        <v>71</v>
      </c>
      <c r="L124" s="1" t="s">
        <v>858</v>
      </c>
      <c r="M124" s="1" t="s">
        <v>859</v>
      </c>
      <c r="N124" s="1" t="s">
        <v>13</v>
      </c>
      <c r="O124" s="1" t="s">
        <v>860</v>
      </c>
    </row>
    <row r="125" spans="1:15" x14ac:dyDescent="0.4">
      <c r="A125" s="1" t="s">
        <v>7238</v>
      </c>
      <c r="B125" s="1" t="s">
        <v>7237</v>
      </c>
      <c r="C125" s="1" t="s">
        <v>7241</v>
      </c>
      <c r="D125" s="1" t="s">
        <v>7242</v>
      </c>
      <c r="E125" s="1" t="s">
        <v>2471</v>
      </c>
      <c r="F125" s="1" t="s">
        <v>17</v>
      </c>
      <c r="G125" s="4" t="str">
        <f>"07924"</f>
        <v>07924</v>
      </c>
      <c r="H125" s="1">
        <v>0</v>
      </c>
      <c r="I125" s="1">
        <v>0</v>
      </c>
      <c r="J125" s="1">
        <v>0</v>
      </c>
      <c r="K125" s="1">
        <v>0</v>
      </c>
      <c r="L125" s="1" t="s">
        <v>153</v>
      </c>
      <c r="M125" s="1" t="s">
        <v>7239</v>
      </c>
      <c r="N125" s="1" t="s">
        <v>13</v>
      </c>
      <c r="O125" s="1" t="s">
        <v>7240</v>
      </c>
    </row>
    <row r="126" spans="1:15" x14ac:dyDescent="0.4">
      <c r="A126" s="1" t="s">
        <v>7243</v>
      </c>
      <c r="B126" s="1" t="s">
        <v>7237</v>
      </c>
      <c r="C126" s="1" t="s">
        <v>7245</v>
      </c>
      <c r="D126" s="1" t="s">
        <v>7242</v>
      </c>
      <c r="E126" s="1" t="s">
        <v>2471</v>
      </c>
      <c r="F126" s="1" t="s">
        <v>17</v>
      </c>
      <c r="G126" s="4" t="str">
        <f>"07924"</f>
        <v>07924</v>
      </c>
      <c r="H126" s="1">
        <v>0</v>
      </c>
      <c r="I126" s="1">
        <v>0</v>
      </c>
      <c r="J126" s="1">
        <v>0</v>
      </c>
      <c r="K126" s="1">
        <v>0</v>
      </c>
      <c r="L126" s="1" t="s">
        <v>143</v>
      </c>
      <c r="M126" s="1" t="s">
        <v>3889</v>
      </c>
      <c r="N126" s="1" t="s">
        <v>13</v>
      </c>
      <c r="O126" s="1" t="s">
        <v>7244</v>
      </c>
    </row>
    <row r="127" spans="1:15" x14ac:dyDescent="0.4">
      <c r="A127" s="1" t="s">
        <v>802</v>
      </c>
      <c r="B127" s="1" t="s">
        <v>801</v>
      </c>
      <c r="C127" s="1" t="s">
        <v>805</v>
      </c>
      <c r="D127" s="1" t="s">
        <v>806</v>
      </c>
      <c r="E127" s="1" t="s">
        <v>8018</v>
      </c>
      <c r="F127" s="1" t="s">
        <v>17</v>
      </c>
      <c r="G127" s="4" t="str">
        <f>"07430-1822"</f>
        <v>07430-1822</v>
      </c>
      <c r="H127" s="1">
        <v>0</v>
      </c>
      <c r="I127" s="1">
        <v>0</v>
      </c>
      <c r="J127" s="1">
        <v>0</v>
      </c>
      <c r="K127" s="1">
        <v>51</v>
      </c>
      <c r="L127" s="1" t="s">
        <v>158</v>
      </c>
      <c r="M127" s="1" t="s">
        <v>803</v>
      </c>
      <c r="N127" s="1" t="s">
        <v>13</v>
      </c>
      <c r="O127" s="1" t="s">
        <v>804</v>
      </c>
    </row>
    <row r="128" spans="1:15" x14ac:dyDescent="0.4">
      <c r="A128" s="1" t="s">
        <v>5542</v>
      </c>
      <c r="B128" s="1" t="s">
        <v>5536</v>
      </c>
      <c r="C128" s="1" t="s">
        <v>5545</v>
      </c>
      <c r="D128" s="1" t="s">
        <v>5198</v>
      </c>
      <c r="E128" s="1" t="s">
        <v>8027</v>
      </c>
      <c r="F128" s="1" t="s">
        <v>17</v>
      </c>
      <c r="G128" s="4" t="str">
        <f>"07728-5033"</f>
        <v>07728-5033</v>
      </c>
      <c r="H128" s="1">
        <v>0</v>
      </c>
      <c r="I128" s="1">
        <v>0</v>
      </c>
      <c r="J128" s="1">
        <v>0</v>
      </c>
      <c r="K128" s="1">
        <v>0</v>
      </c>
      <c r="L128" s="1" t="s">
        <v>54</v>
      </c>
      <c r="M128" s="1" t="s">
        <v>5543</v>
      </c>
      <c r="N128" s="1" t="s">
        <v>13</v>
      </c>
      <c r="O128" s="1" t="s">
        <v>5544</v>
      </c>
    </row>
    <row r="129" spans="1:15" x14ac:dyDescent="0.4">
      <c r="A129" s="1" t="s">
        <v>3748</v>
      </c>
      <c r="B129" s="1" t="s">
        <v>3741</v>
      </c>
      <c r="C129" s="1" t="s">
        <v>3751</v>
      </c>
      <c r="D129" s="1" t="s">
        <v>3747</v>
      </c>
      <c r="E129" s="1" t="s">
        <v>8020</v>
      </c>
      <c r="F129" s="1" t="s">
        <v>17</v>
      </c>
      <c r="G129" s="4" t="str">
        <f>"08012-1625"</f>
        <v>08012-1625</v>
      </c>
      <c r="H129" s="1">
        <v>0</v>
      </c>
      <c r="I129" s="1">
        <v>0</v>
      </c>
      <c r="J129" s="1">
        <v>0</v>
      </c>
      <c r="K129" s="1">
        <v>97</v>
      </c>
      <c r="L129" s="1" t="s">
        <v>258</v>
      </c>
      <c r="M129" s="1" t="s">
        <v>3749</v>
      </c>
      <c r="N129" s="1" t="s">
        <v>13</v>
      </c>
      <c r="O129" s="1" t="s">
        <v>3750</v>
      </c>
    </row>
    <row r="130" spans="1:15" x14ac:dyDescent="0.4">
      <c r="A130" s="1" t="s">
        <v>6119</v>
      </c>
      <c r="B130" s="1" t="s">
        <v>6118</v>
      </c>
      <c r="C130" s="1" t="s">
        <v>6122</v>
      </c>
      <c r="D130" s="1" t="s">
        <v>5744</v>
      </c>
      <c r="E130" s="1" t="s">
        <v>1503</v>
      </c>
      <c r="F130" s="1" t="s">
        <v>17</v>
      </c>
      <c r="G130" s="4" t="str">
        <f>"07801"</f>
        <v>07801</v>
      </c>
      <c r="H130" s="1">
        <v>5</v>
      </c>
      <c r="I130" s="1">
        <v>1.6</v>
      </c>
      <c r="J130" s="1">
        <v>0</v>
      </c>
      <c r="K130" s="1">
        <v>38</v>
      </c>
      <c r="L130" s="1" t="s">
        <v>38</v>
      </c>
      <c r="M130" s="1" t="s">
        <v>6120</v>
      </c>
      <c r="N130" s="1" t="s">
        <v>13</v>
      </c>
      <c r="O130" s="1" t="s">
        <v>6121</v>
      </c>
    </row>
    <row r="131" spans="1:15" x14ac:dyDescent="0.4">
      <c r="A131" s="1" t="s">
        <v>5720</v>
      </c>
      <c r="B131" s="1" t="s">
        <v>5719</v>
      </c>
      <c r="C131" s="1" t="s">
        <v>5722</v>
      </c>
      <c r="D131" s="1" t="s">
        <v>5723</v>
      </c>
      <c r="E131" s="1" t="s">
        <v>1503</v>
      </c>
      <c r="F131" s="1" t="s">
        <v>17</v>
      </c>
      <c r="G131" s="4" t="str">
        <f>"07930"</f>
        <v>07930</v>
      </c>
      <c r="H131" s="1">
        <v>0</v>
      </c>
      <c r="I131" s="1">
        <v>0</v>
      </c>
      <c r="J131" s="1">
        <v>0</v>
      </c>
      <c r="K131" s="1">
        <v>0</v>
      </c>
      <c r="L131" s="1" t="s">
        <v>836</v>
      </c>
      <c r="M131" s="1" t="s">
        <v>109</v>
      </c>
      <c r="N131" s="1" t="s">
        <v>13</v>
      </c>
      <c r="O131" s="1" t="s">
        <v>5721</v>
      </c>
    </row>
    <row r="132" spans="1:15" x14ac:dyDescent="0.4">
      <c r="A132" s="1" t="s">
        <v>2050</v>
      </c>
      <c r="B132" s="1" t="s">
        <v>2047</v>
      </c>
      <c r="C132" s="1" t="s">
        <v>2053</v>
      </c>
      <c r="D132" s="1" t="s">
        <v>1861</v>
      </c>
      <c r="E132" s="1" t="s">
        <v>1909</v>
      </c>
      <c r="F132" s="1" t="s">
        <v>17</v>
      </c>
      <c r="G132" s="4" t="str">
        <f>"08012"</f>
        <v>08012</v>
      </c>
      <c r="H132" s="1">
        <v>0</v>
      </c>
      <c r="I132" s="1">
        <v>0</v>
      </c>
      <c r="J132" s="1">
        <v>0</v>
      </c>
      <c r="K132" s="1">
        <v>83</v>
      </c>
      <c r="L132" s="1" t="s">
        <v>1678</v>
      </c>
      <c r="M132" s="1" t="s">
        <v>2051</v>
      </c>
      <c r="N132" s="1" t="s">
        <v>13</v>
      </c>
      <c r="O132" s="1" t="s">
        <v>2052</v>
      </c>
    </row>
    <row r="133" spans="1:15" x14ac:dyDescent="0.4">
      <c r="A133" s="1" t="s">
        <v>4765</v>
      </c>
      <c r="B133" s="1" t="s">
        <v>4764</v>
      </c>
      <c r="C133" s="1" t="s">
        <v>4768</v>
      </c>
      <c r="D133" s="1" t="s">
        <v>4769</v>
      </c>
      <c r="E133" s="1" t="s">
        <v>4704</v>
      </c>
      <c r="F133" s="1" t="s">
        <v>17</v>
      </c>
      <c r="G133" s="4" t="str">
        <f>"08901"</f>
        <v>08901</v>
      </c>
      <c r="H133" s="1">
        <v>0</v>
      </c>
      <c r="I133" s="1">
        <v>0</v>
      </c>
      <c r="J133" s="1">
        <v>0</v>
      </c>
      <c r="K133" s="1">
        <v>45</v>
      </c>
      <c r="L133" s="1" t="s">
        <v>4497</v>
      </c>
      <c r="M133" s="1" t="s">
        <v>4766</v>
      </c>
      <c r="N133" s="1" t="s">
        <v>13</v>
      </c>
      <c r="O133" s="1" t="s">
        <v>4767</v>
      </c>
    </row>
    <row r="134" spans="1:15" x14ac:dyDescent="0.4">
      <c r="A134" s="1" t="s">
        <v>2965</v>
      </c>
      <c r="B134" s="1" t="s">
        <v>2958</v>
      </c>
      <c r="C134" s="1" t="s">
        <v>2968</v>
      </c>
      <c r="D134" s="1" t="s">
        <v>2964</v>
      </c>
      <c r="E134" s="1" t="s">
        <v>8024</v>
      </c>
      <c r="F134" s="1" t="s">
        <v>17</v>
      </c>
      <c r="G134" s="4" t="str">
        <f>"07003-2628"</f>
        <v>07003-2628</v>
      </c>
      <c r="H134" s="1">
        <v>0</v>
      </c>
      <c r="I134" s="1">
        <v>0</v>
      </c>
      <c r="J134" s="1">
        <v>0</v>
      </c>
      <c r="K134" s="1">
        <v>0</v>
      </c>
      <c r="L134" s="1" t="s">
        <v>380</v>
      </c>
      <c r="M134" s="1" t="s">
        <v>2966</v>
      </c>
      <c r="N134" s="1" t="s">
        <v>13</v>
      </c>
      <c r="O134" s="1" t="s">
        <v>2967</v>
      </c>
    </row>
    <row r="135" spans="1:15" x14ac:dyDescent="0.4">
      <c r="A135" s="1" t="s">
        <v>2969</v>
      </c>
      <c r="B135" s="1" t="s">
        <v>2958</v>
      </c>
      <c r="C135" s="1" t="s">
        <v>2973</v>
      </c>
      <c r="D135" s="1" t="s">
        <v>2964</v>
      </c>
      <c r="E135" s="1" t="s">
        <v>8024</v>
      </c>
      <c r="F135" s="1" t="s">
        <v>17</v>
      </c>
      <c r="G135" s="4" t="str">
        <f>"07003-4144"</f>
        <v>07003-4144</v>
      </c>
      <c r="H135" s="1">
        <v>0</v>
      </c>
      <c r="I135" s="1">
        <v>0</v>
      </c>
      <c r="J135" s="1">
        <v>0</v>
      </c>
      <c r="K135" s="1">
        <v>0</v>
      </c>
      <c r="L135" s="1" t="s">
        <v>2970</v>
      </c>
      <c r="M135" s="1" t="s">
        <v>2971</v>
      </c>
      <c r="N135" s="1" t="s">
        <v>13</v>
      </c>
      <c r="O135" s="1" t="s">
        <v>2972</v>
      </c>
    </row>
    <row r="136" spans="1:15" x14ac:dyDescent="0.4">
      <c r="A136" s="1" t="s">
        <v>7447</v>
      </c>
      <c r="B136" s="1" t="s">
        <v>7446</v>
      </c>
      <c r="C136" s="1" t="s">
        <v>7451</v>
      </c>
      <c r="D136" s="1" t="s">
        <v>7452</v>
      </c>
      <c r="E136" s="1" t="s">
        <v>7833</v>
      </c>
      <c r="F136" s="1" t="s">
        <v>17</v>
      </c>
      <c r="G136" s="4" t="str">
        <f>"07016"</f>
        <v>07016</v>
      </c>
      <c r="H136" s="1">
        <v>0</v>
      </c>
      <c r="I136" s="1">
        <v>0</v>
      </c>
      <c r="J136" s="1">
        <v>63</v>
      </c>
      <c r="K136" s="1">
        <v>0</v>
      </c>
      <c r="L136" s="1" t="s">
        <v>7448</v>
      </c>
      <c r="M136" s="1" t="s">
        <v>7449</v>
      </c>
      <c r="N136" s="1" t="s">
        <v>13</v>
      </c>
      <c r="O136" s="1" t="s">
        <v>7450</v>
      </c>
    </row>
    <row r="137" spans="1:15" x14ac:dyDescent="0.4">
      <c r="A137" s="1" t="s">
        <v>8036</v>
      </c>
      <c r="B137" s="1" t="s">
        <v>1536</v>
      </c>
      <c r="C137" s="1" t="s">
        <v>1540</v>
      </c>
      <c r="D137" s="1" t="s">
        <v>1537</v>
      </c>
      <c r="E137" s="1" t="s">
        <v>8019</v>
      </c>
      <c r="F137" s="1" t="s">
        <v>17</v>
      </c>
      <c r="G137" s="4" t="str">
        <f>"08048"</f>
        <v>08048</v>
      </c>
      <c r="H137" s="1">
        <v>0</v>
      </c>
      <c r="I137" s="1">
        <v>0</v>
      </c>
      <c r="J137" s="1">
        <v>0</v>
      </c>
      <c r="K137" s="1">
        <v>0</v>
      </c>
      <c r="L137" s="1" t="s">
        <v>1538</v>
      </c>
      <c r="M137" s="1" t="s">
        <v>649</v>
      </c>
      <c r="N137" s="1" t="s">
        <v>13</v>
      </c>
      <c r="O137" s="1" t="s">
        <v>1539</v>
      </c>
    </row>
    <row r="138" spans="1:15" x14ac:dyDescent="0.4">
      <c r="A138" s="1" t="s">
        <v>372</v>
      </c>
      <c r="B138" s="1" t="s">
        <v>371</v>
      </c>
      <c r="C138" s="1" t="s">
        <v>376</v>
      </c>
      <c r="D138" s="1" t="s">
        <v>377</v>
      </c>
      <c r="E138" s="1" t="s">
        <v>8018</v>
      </c>
      <c r="F138" s="1" t="s">
        <v>17</v>
      </c>
      <c r="G138" s="4" t="str">
        <f>"07603"</f>
        <v>07603</v>
      </c>
      <c r="H138" s="1">
        <v>0</v>
      </c>
      <c r="I138" s="1">
        <v>0</v>
      </c>
      <c r="J138" s="1">
        <v>0</v>
      </c>
      <c r="K138" s="1">
        <v>0</v>
      </c>
      <c r="L138" s="1" t="s">
        <v>373</v>
      </c>
      <c r="M138" s="1" t="s">
        <v>374</v>
      </c>
      <c r="N138" s="1" t="s">
        <v>13</v>
      </c>
      <c r="O138" s="1" t="s">
        <v>375</v>
      </c>
    </row>
    <row r="139" spans="1:15" x14ac:dyDescent="0.4">
      <c r="A139" s="1" t="s">
        <v>379</v>
      </c>
      <c r="B139" s="1" t="s">
        <v>371</v>
      </c>
      <c r="C139" s="1" t="s">
        <v>383</v>
      </c>
      <c r="D139" s="1" t="s">
        <v>384</v>
      </c>
      <c r="E139" s="1" t="s">
        <v>8018</v>
      </c>
      <c r="F139" s="1" t="s">
        <v>17</v>
      </c>
      <c r="G139" s="4" t="str">
        <f>"07603"</f>
        <v>07603</v>
      </c>
      <c r="H139" s="1">
        <v>0</v>
      </c>
      <c r="I139" s="1">
        <v>0</v>
      </c>
      <c r="J139" s="1">
        <v>0</v>
      </c>
      <c r="K139" s="1">
        <v>0</v>
      </c>
      <c r="L139" s="1" t="s">
        <v>380</v>
      </c>
      <c r="M139" s="1" t="s">
        <v>381</v>
      </c>
      <c r="N139" s="1" t="s">
        <v>13</v>
      </c>
      <c r="O139" s="1" t="s">
        <v>382</v>
      </c>
    </row>
    <row r="140" spans="1:15" x14ac:dyDescent="0.4">
      <c r="A140" s="1" t="s">
        <v>1350</v>
      </c>
      <c r="B140" s="1" t="s">
        <v>1349</v>
      </c>
      <c r="C140" s="1" t="s">
        <v>1353</v>
      </c>
      <c r="D140" s="1" t="s">
        <v>1354</v>
      </c>
      <c r="E140" s="1" t="s">
        <v>8019</v>
      </c>
      <c r="F140" s="1" t="s">
        <v>17</v>
      </c>
      <c r="G140" s="4" t="str">
        <f>"08505-9615"</f>
        <v>08505-9615</v>
      </c>
      <c r="H140" s="1">
        <v>0</v>
      </c>
      <c r="I140" s="1">
        <v>0</v>
      </c>
      <c r="J140" s="1">
        <v>0</v>
      </c>
      <c r="K140" s="1">
        <v>0</v>
      </c>
      <c r="L140" s="1" t="s">
        <v>306</v>
      </c>
      <c r="M140" s="1" t="s">
        <v>1351</v>
      </c>
      <c r="N140" s="1" t="s">
        <v>13</v>
      </c>
      <c r="O140" s="1" t="s">
        <v>1352</v>
      </c>
    </row>
    <row r="141" spans="1:15" x14ac:dyDescent="0.4">
      <c r="A141" s="1" t="s">
        <v>1355</v>
      </c>
      <c r="B141" s="1" t="s">
        <v>1349</v>
      </c>
      <c r="C141" s="1" t="s">
        <v>1358</v>
      </c>
      <c r="D141" s="1" t="s">
        <v>1354</v>
      </c>
      <c r="E141" s="1" t="s">
        <v>8019</v>
      </c>
      <c r="F141" s="1" t="s">
        <v>17</v>
      </c>
      <c r="G141" s="4" t="str">
        <f>"08505"</f>
        <v>08505</v>
      </c>
      <c r="H141" s="1">
        <v>0</v>
      </c>
      <c r="I141" s="1">
        <v>0</v>
      </c>
      <c r="J141" s="1">
        <v>0</v>
      </c>
      <c r="K141" s="1">
        <v>0</v>
      </c>
      <c r="L141" s="1" t="s">
        <v>62</v>
      </c>
      <c r="M141" s="1" t="s">
        <v>1356</v>
      </c>
      <c r="N141" s="1" t="s">
        <v>13</v>
      </c>
      <c r="O141" s="1" t="s">
        <v>1357</v>
      </c>
    </row>
    <row r="142" spans="1:15" x14ac:dyDescent="0.4">
      <c r="A142" s="1" t="s">
        <v>7064</v>
      </c>
      <c r="B142" s="1" t="s">
        <v>7063</v>
      </c>
      <c r="C142" s="1" t="s">
        <v>7066</v>
      </c>
      <c r="D142" s="1" t="s">
        <v>7067</v>
      </c>
      <c r="E142" s="1" t="s">
        <v>2471</v>
      </c>
      <c r="F142" s="1" t="s">
        <v>17</v>
      </c>
      <c r="G142" s="4" t="str">
        <f>"08805"</f>
        <v>08805</v>
      </c>
      <c r="H142" s="1">
        <v>0</v>
      </c>
      <c r="I142" s="1">
        <v>0</v>
      </c>
      <c r="J142" s="1">
        <v>0</v>
      </c>
      <c r="K142" s="1">
        <v>0</v>
      </c>
      <c r="L142" s="1" t="s">
        <v>685</v>
      </c>
      <c r="M142" s="1" t="s">
        <v>421</v>
      </c>
      <c r="N142" s="1" t="s">
        <v>13</v>
      </c>
      <c r="O142" s="1" t="s">
        <v>7065</v>
      </c>
    </row>
    <row r="143" spans="1:15" x14ac:dyDescent="0.4">
      <c r="A143" s="1" t="s">
        <v>3203</v>
      </c>
      <c r="B143" s="1" t="s">
        <v>3202</v>
      </c>
      <c r="C143" s="1" t="s">
        <v>3207</v>
      </c>
      <c r="D143" s="1" t="s">
        <v>3208</v>
      </c>
      <c r="E143" s="1" t="s">
        <v>8024</v>
      </c>
      <c r="F143" s="1" t="s">
        <v>17</v>
      </c>
      <c r="G143" s="4" t="str">
        <f>"07042"</f>
        <v>07042</v>
      </c>
      <c r="H143" s="1">
        <v>0</v>
      </c>
      <c r="I143" s="1">
        <v>0</v>
      </c>
      <c r="J143" s="1">
        <v>0</v>
      </c>
      <c r="K143" s="1">
        <v>61</v>
      </c>
      <c r="L143" s="1" t="s">
        <v>3204</v>
      </c>
      <c r="M143" s="1" t="s">
        <v>3205</v>
      </c>
      <c r="N143" s="1" t="s">
        <v>13</v>
      </c>
      <c r="O143" s="1" t="s">
        <v>3206</v>
      </c>
    </row>
    <row r="144" spans="1:15" x14ac:dyDescent="0.4">
      <c r="A144" s="1" t="s">
        <v>5138</v>
      </c>
      <c r="B144" s="1" t="s">
        <v>5134</v>
      </c>
      <c r="C144" s="1" t="s">
        <v>5141</v>
      </c>
      <c r="D144" s="1" t="s">
        <v>2588</v>
      </c>
      <c r="E144" s="1" t="s">
        <v>8027</v>
      </c>
      <c r="F144" s="1" t="s">
        <v>17</v>
      </c>
      <c r="G144" s="4" t="str">
        <f>"07712-5798"</f>
        <v>07712-5798</v>
      </c>
      <c r="H144" s="1">
        <v>0</v>
      </c>
      <c r="I144" s="1">
        <v>0</v>
      </c>
      <c r="J144" s="1">
        <v>0</v>
      </c>
      <c r="K144" s="1">
        <v>0</v>
      </c>
      <c r="L144" s="1" t="s">
        <v>611</v>
      </c>
      <c r="M144" s="1" t="s">
        <v>5139</v>
      </c>
      <c r="N144" s="1" t="s">
        <v>13</v>
      </c>
      <c r="O144" s="1" t="s">
        <v>5140</v>
      </c>
    </row>
    <row r="145" spans="1:15" x14ac:dyDescent="0.4">
      <c r="A145" s="1" t="s">
        <v>7095</v>
      </c>
      <c r="B145" s="1" t="s">
        <v>7093</v>
      </c>
      <c r="C145" s="1" t="s">
        <v>7098</v>
      </c>
      <c r="D145" s="1" t="s">
        <v>7094</v>
      </c>
      <c r="E145" s="1" t="s">
        <v>2471</v>
      </c>
      <c r="F145" s="1" t="s">
        <v>17</v>
      </c>
      <c r="G145" s="4" t="str">
        <f>"08807"</f>
        <v>08807</v>
      </c>
      <c r="H145" s="1">
        <v>0</v>
      </c>
      <c r="I145" s="1">
        <v>0</v>
      </c>
      <c r="J145" s="1">
        <v>34</v>
      </c>
      <c r="K145" s="1">
        <v>3</v>
      </c>
      <c r="L145" s="1" t="s">
        <v>403</v>
      </c>
      <c r="M145" s="1" t="s">
        <v>7096</v>
      </c>
      <c r="N145" s="1" t="s">
        <v>13</v>
      </c>
      <c r="O145" s="1" t="s">
        <v>7097</v>
      </c>
    </row>
    <row r="146" spans="1:15" x14ac:dyDescent="0.4">
      <c r="A146" s="1" t="s">
        <v>5724</v>
      </c>
      <c r="B146" s="1" t="s">
        <v>5719</v>
      </c>
      <c r="C146" s="1" t="s">
        <v>5727</v>
      </c>
      <c r="D146" s="1" t="s">
        <v>5723</v>
      </c>
      <c r="E146" s="1" t="s">
        <v>1503</v>
      </c>
      <c r="F146" s="1" t="s">
        <v>17</v>
      </c>
      <c r="G146" s="4" t="str">
        <f>"07930"</f>
        <v>07930</v>
      </c>
      <c r="H146" s="1">
        <v>0</v>
      </c>
      <c r="I146" s="1">
        <v>0</v>
      </c>
      <c r="J146" s="1">
        <v>0</v>
      </c>
      <c r="K146" s="1">
        <v>0</v>
      </c>
      <c r="L146" s="1" t="s">
        <v>158</v>
      </c>
      <c r="M146" s="1" t="s">
        <v>5725</v>
      </c>
      <c r="N146" s="1" t="s">
        <v>13</v>
      </c>
      <c r="O146" s="1" t="s">
        <v>5726</v>
      </c>
    </row>
    <row r="147" spans="1:15" x14ac:dyDescent="0.4">
      <c r="A147" s="1" t="s">
        <v>7079</v>
      </c>
      <c r="B147" s="1" t="s">
        <v>7078</v>
      </c>
      <c r="C147" s="1" t="s">
        <v>7082</v>
      </c>
      <c r="D147" s="1" t="s">
        <v>7083</v>
      </c>
      <c r="E147" s="1" t="s">
        <v>2471</v>
      </c>
      <c r="F147" s="1" t="s">
        <v>17</v>
      </c>
      <c r="G147" s="4" t="str">
        <f>"08876-3784"</f>
        <v>08876-3784</v>
      </c>
      <c r="H147" s="1">
        <v>0</v>
      </c>
      <c r="I147" s="1">
        <v>0</v>
      </c>
      <c r="J147" s="1">
        <v>0</v>
      </c>
      <c r="K147" s="1">
        <v>0</v>
      </c>
      <c r="L147" s="1" t="s">
        <v>2717</v>
      </c>
      <c r="M147" s="1" t="s">
        <v>7080</v>
      </c>
      <c r="N147" s="1" t="s">
        <v>13</v>
      </c>
      <c r="O147" s="1" t="s">
        <v>7081</v>
      </c>
    </row>
    <row r="148" spans="1:15" x14ac:dyDescent="0.4">
      <c r="A148" s="1" t="s">
        <v>7767</v>
      </c>
      <c r="B148" s="1" t="s">
        <v>7766</v>
      </c>
      <c r="C148" s="1" t="s">
        <v>7770</v>
      </c>
      <c r="D148" s="1" t="s">
        <v>7771</v>
      </c>
      <c r="E148" s="1" t="s">
        <v>7833</v>
      </c>
      <c r="F148" s="1" t="s">
        <v>17</v>
      </c>
      <c r="G148" s="4" t="str">
        <f>"07901-3410"</f>
        <v>07901-3410</v>
      </c>
      <c r="H148" s="1">
        <v>0</v>
      </c>
      <c r="I148" s="1">
        <v>0</v>
      </c>
      <c r="J148" s="1">
        <v>0</v>
      </c>
      <c r="K148" s="1">
        <v>0</v>
      </c>
      <c r="L148" s="1" t="s">
        <v>7376</v>
      </c>
      <c r="M148" s="1" t="s">
        <v>7768</v>
      </c>
      <c r="N148" s="1" t="s">
        <v>13</v>
      </c>
      <c r="O148" s="1" t="s">
        <v>7769</v>
      </c>
    </row>
    <row r="149" spans="1:15" x14ac:dyDescent="0.4">
      <c r="A149" s="1" t="s">
        <v>1934</v>
      </c>
      <c r="B149" s="1" t="s">
        <v>1927</v>
      </c>
      <c r="C149" s="1" t="s">
        <v>1938</v>
      </c>
      <c r="D149" s="1" t="s">
        <v>1933</v>
      </c>
      <c r="E149" s="1" t="s">
        <v>1909</v>
      </c>
      <c r="F149" s="1" t="s">
        <v>17</v>
      </c>
      <c r="G149" s="4" t="str">
        <f>"08003-2843"</f>
        <v>08003-2843</v>
      </c>
      <c r="H149" s="1">
        <v>0</v>
      </c>
      <c r="I149" s="1">
        <v>0</v>
      </c>
      <c r="J149" s="1">
        <v>0</v>
      </c>
      <c r="K149" s="1">
        <v>55</v>
      </c>
      <c r="L149" s="1" t="s">
        <v>1935</v>
      </c>
      <c r="M149" s="1" t="s">
        <v>1936</v>
      </c>
      <c r="N149" s="1" t="s">
        <v>13</v>
      </c>
      <c r="O149" s="1" t="s">
        <v>1937</v>
      </c>
    </row>
    <row r="150" spans="1:15" x14ac:dyDescent="0.4">
      <c r="A150" s="1" t="s">
        <v>6018</v>
      </c>
      <c r="B150" s="1" t="s">
        <v>6017</v>
      </c>
      <c r="C150" s="1" t="s">
        <v>6020</v>
      </c>
      <c r="D150" s="1" t="s">
        <v>6021</v>
      </c>
      <c r="E150" s="1" t="s">
        <v>1503</v>
      </c>
      <c r="F150" s="1" t="s">
        <v>17</v>
      </c>
      <c r="G150" s="4" t="str">
        <f>"07046"</f>
        <v>07046</v>
      </c>
      <c r="H150" s="1">
        <v>0</v>
      </c>
      <c r="I150" s="1">
        <v>0</v>
      </c>
      <c r="J150" s="1">
        <v>0</v>
      </c>
      <c r="K150" s="1">
        <v>0</v>
      </c>
      <c r="L150" s="1" t="s">
        <v>302</v>
      </c>
      <c r="M150" s="1" t="s">
        <v>2795</v>
      </c>
      <c r="N150" s="1" t="s">
        <v>13</v>
      </c>
      <c r="O150" s="1" t="s">
        <v>6019</v>
      </c>
    </row>
    <row r="151" spans="1:15" x14ac:dyDescent="0.4">
      <c r="A151" s="1" t="s">
        <v>5771</v>
      </c>
      <c r="B151" s="1" t="s">
        <v>5770</v>
      </c>
      <c r="C151" s="1" t="s">
        <v>5774</v>
      </c>
      <c r="D151" s="1" t="s">
        <v>5775</v>
      </c>
      <c r="E151" s="1" t="s">
        <v>1503</v>
      </c>
      <c r="F151" s="1" t="s">
        <v>17</v>
      </c>
      <c r="G151" s="4" t="str">
        <f>"07932"</f>
        <v>07932</v>
      </c>
      <c r="H151" s="1">
        <v>0</v>
      </c>
      <c r="I151" s="1">
        <v>0</v>
      </c>
      <c r="J151" s="1">
        <v>0</v>
      </c>
      <c r="K151" s="1">
        <v>96</v>
      </c>
      <c r="L151" s="1" t="s">
        <v>336</v>
      </c>
      <c r="M151" s="1" t="s">
        <v>5772</v>
      </c>
      <c r="N151" s="1" t="s">
        <v>13</v>
      </c>
      <c r="O151" s="1" t="s">
        <v>5773</v>
      </c>
    </row>
    <row r="152" spans="1:15" x14ac:dyDescent="0.4">
      <c r="A152" s="1" t="s">
        <v>6242</v>
      </c>
      <c r="B152" s="1" t="s">
        <v>6241</v>
      </c>
      <c r="C152" s="1" t="s">
        <v>6245</v>
      </c>
      <c r="D152" s="1" t="s">
        <v>6246</v>
      </c>
      <c r="E152" s="1" t="s">
        <v>8028</v>
      </c>
      <c r="F152" s="1" t="s">
        <v>17</v>
      </c>
      <c r="G152" s="4" t="str">
        <f>"08723-2804"</f>
        <v>08723-2804</v>
      </c>
      <c r="H152" s="1">
        <v>0</v>
      </c>
      <c r="I152" s="1">
        <v>0</v>
      </c>
      <c r="J152" s="1">
        <v>0</v>
      </c>
      <c r="K152" s="1">
        <v>0</v>
      </c>
      <c r="L152" s="1" t="s">
        <v>128</v>
      </c>
      <c r="M152" s="1" t="s">
        <v>6243</v>
      </c>
      <c r="N152" s="1" t="s">
        <v>13</v>
      </c>
      <c r="O152" s="1" t="s">
        <v>6244</v>
      </c>
    </row>
    <row r="153" spans="1:15" x14ac:dyDescent="0.4">
      <c r="A153" s="1" t="s">
        <v>6247</v>
      </c>
      <c r="B153" s="1" t="s">
        <v>6241</v>
      </c>
      <c r="C153" s="1" t="s">
        <v>6250</v>
      </c>
      <c r="D153" s="1" t="s">
        <v>6251</v>
      </c>
      <c r="E153" s="1" t="s">
        <v>8028</v>
      </c>
      <c r="F153" s="1" t="s">
        <v>17</v>
      </c>
      <c r="G153" s="4" t="str">
        <f>"08724-1405"</f>
        <v>08724-1405</v>
      </c>
      <c r="H153" s="1">
        <v>0</v>
      </c>
      <c r="I153" s="1">
        <v>0</v>
      </c>
      <c r="J153" s="1">
        <v>0</v>
      </c>
      <c r="K153" s="1">
        <v>0</v>
      </c>
      <c r="L153" s="1" t="s">
        <v>685</v>
      </c>
      <c r="M153" s="1" t="s">
        <v>6248</v>
      </c>
      <c r="N153" s="1" t="s">
        <v>13</v>
      </c>
      <c r="O153" s="1" t="s">
        <v>6249</v>
      </c>
    </row>
    <row r="154" spans="1:15" x14ac:dyDescent="0.4">
      <c r="A154" s="1" t="s">
        <v>2798</v>
      </c>
      <c r="B154" s="1" t="s">
        <v>2797</v>
      </c>
      <c r="C154" s="1" t="s">
        <v>2801</v>
      </c>
      <c r="D154" s="1" t="s">
        <v>2802</v>
      </c>
      <c r="E154" s="1" t="s">
        <v>8023</v>
      </c>
      <c r="F154" s="1" t="s">
        <v>17</v>
      </c>
      <c r="G154" s="4" t="str">
        <f>"08302"</f>
        <v>08302</v>
      </c>
      <c r="H154" s="1">
        <v>0</v>
      </c>
      <c r="I154" s="1">
        <v>0</v>
      </c>
      <c r="J154" s="1">
        <v>0</v>
      </c>
      <c r="K154" s="1">
        <v>0</v>
      </c>
      <c r="L154" s="1" t="s">
        <v>158</v>
      </c>
      <c r="M154" s="1" t="s">
        <v>2799</v>
      </c>
      <c r="N154" s="1" t="s">
        <v>13</v>
      </c>
      <c r="O154" s="1" t="s">
        <v>2800</v>
      </c>
    </row>
    <row r="155" spans="1:15" x14ac:dyDescent="0.4">
      <c r="A155" s="1" t="s">
        <v>2450</v>
      </c>
      <c r="B155" s="1" t="s">
        <v>2450</v>
      </c>
      <c r="C155" s="1" t="s">
        <v>2452</v>
      </c>
      <c r="D155" s="1" t="s">
        <v>2453</v>
      </c>
      <c r="E155" s="1" t="s">
        <v>8022</v>
      </c>
      <c r="F155" s="1" t="s">
        <v>17</v>
      </c>
      <c r="G155" s="4" t="str">
        <f>"08302"</f>
        <v>08302</v>
      </c>
      <c r="H155" s="1">
        <v>0</v>
      </c>
      <c r="I155" s="1">
        <v>0</v>
      </c>
      <c r="J155" s="1">
        <v>0</v>
      </c>
      <c r="K155" s="1">
        <v>10</v>
      </c>
      <c r="L155" s="1" t="s">
        <v>662</v>
      </c>
      <c r="M155" s="1" t="s">
        <v>34</v>
      </c>
      <c r="N155" s="1" t="s">
        <v>1924</v>
      </c>
      <c r="O155" s="1" t="s">
        <v>2451</v>
      </c>
    </row>
    <row r="156" spans="1:15" x14ac:dyDescent="0.4">
      <c r="A156" s="1" t="s">
        <v>7099</v>
      </c>
      <c r="B156" s="1" t="s">
        <v>7093</v>
      </c>
      <c r="C156" s="1" t="s">
        <v>7102</v>
      </c>
      <c r="D156" s="1" t="s">
        <v>7094</v>
      </c>
      <c r="E156" s="1" t="s">
        <v>2471</v>
      </c>
      <c r="F156" s="1" t="s">
        <v>17</v>
      </c>
      <c r="G156" s="4" t="str">
        <f>"08807"</f>
        <v>08807</v>
      </c>
      <c r="H156" s="1">
        <v>0</v>
      </c>
      <c r="I156" s="1">
        <v>0</v>
      </c>
      <c r="J156" s="1">
        <v>0</v>
      </c>
      <c r="K156" s="1">
        <v>0</v>
      </c>
      <c r="L156" s="1" t="s">
        <v>146</v>
      </c>
      <c r="M156" s="1" t="s">
        <v>7100</v>
      </c>
      <c r="N156" s="1" t="s">
        <v>13</v>
      </c>
      <c r="O156" s="1" t="s">
        <v>7101</v>
      </c>
    </row>
    <row r="157" spans="1:15" x14ac:dyDescent="0.4">
      <c r="A157" s="1" t="s">
        <v>7103</v>
      </c>
      <c r="B157" s="1" t="s">
        <v>7093</v>
      </c>
      <c r="C157" s="1" t="s">
        <v>7106</v>
      </c>
      <c r="D157" s="1" t="s">
        <v>7094</v>
      </c>
      <c r="E157" s="1" t="s">
        <v>2471</v>
      </c>
      <c r="F157" s="1" t="s">
        <v>17</v>
      </c>
      <c r="G157" s="4" t="str">
        <f>"08807"</f>
        <v>08807</v>
      </c>
      <c r="H157" s="1">
        <v>0</v>
      </c>
      <c r="I157" s="1">
        <v>0</v>
      </c>
      <c r="J157" s="1">
        <v>0</v>
      </c>
      <c r="K157" s="1">
        <v>0</v>
      </c>
      <c r="L157" s="1" t="s">
        <v>1369</v>
      </c>
      <c r="M157" s="1" t="s">
        <v>7104</v>
      </c>
      <c r="N157" s="1" t="s">
        <v>13</v>
      </c>
      <c r="O157" s="1" t="s">
        <v>7105</v>
      </c>
    </row>
    <row r="158" spans="1:15" x14ac:dyDescent="0.4">
      <c r="A158" s="1" t="s">
        <v>5155</v>
      </c>
      <c r="B158" s="1" t="s">
        <v>5154</v>
      </c>
      <c r="C158" s="1" t="s">
        <v>5159</v>
      </c>
      <c r="D158" s="1" t="s">
        <v>5160</v>
      </c>
      <c r="E158" s="1" t="s">
        <v>8027</v>
      </c>
      <c r="F158" s="1" t="s">
        <v>17</v>
      </c>
      <c r="G158" s="4" t="str">
        <f>"08730-1439"</f>
        <v>08730-1439</v>
      </c>
      <c r="H158" s="1">
        <v>0</v>
      </c>
      <c r="I158" s="1">
        <v>0</v>
      </c>
      <c r="J158" s="1">
        <v>0</v>
      </c>
      <c r="K158" s="1">
        <v>50</v>
      </c>
      <c r="L158" s="1" t="s">
        <v>5156</v>
      </c>
      <c r="M158" s="1" t="s">
        <v>5157</v>
      </c>
      <c r="N158" s="1" t="s">
        <v>13</v>
      </c>
      <c r="O158" s="1" t="s">
        <v>5158</v>
      </c>
    </row>
    <row r="159" spans="1:15" x14ac:dyDescent="0.4">
      <c r="A159" s="1" t="s">
        <v>2457</v>
      </c>
      <c r="B159" s="1" t="s">
        <v>2457</v>
      </c>
      <c r="C159" s="1" t="s">
        <v>2459</v>
      </c>
      <c r="D159" s="1" t="s">
        <v>2460</v>
      </c>
      <c r="E159" s="1" t="s">
        <v>8022</v>
      </c>
      <c r="F159" s="1" t="s">
        <v>17</v>
      </c>
      <c r="G159" s="4" t="str">
        <f>"07505"</f>
        <v>07505</v>
      </c>
      <c r="H159" s="1">
        <v>0</v>
      </c>
      <c r="I159" s="1">
        <v>0</v>
      </c>
      <c r="J159" s="1">
        <v>0</v>
      </c>
      <c r="K159" s="1">
        <v>75</v>
      </c>
      <c r="L159" s="1" t="s">
        <v>28</v>
      </c>
      <c r="M159" s="1" t="s">
        <v>8037</v>
      </c>
      <c r="N159" s="1" t="s">
        <v>13</v>
      </c>
      <c r="O159" s="1" t="s">
        <v>2458</v>
      </c>
    </row>
    <row r="160" spans="1:15" x14ac:dyDescent="0.4">
      <c r="A160" s="1" t="s">
        <v>2803</v>
      </c>
      <c r="B160" s="1" t="s">
        <v>2797</v>
      </c>
      <c r="C160" s="1" t="s">
        <v>2807</v>
      </c>
      <c r="D160" s="1" t="s">
        <v>2802</v>
      </c>
      <c r="E160" s="1" t="s">
        <v>8023</v>
      </c>
      <c r="F160" s="1" t="s">
        <v>17</v>
      </c>
      <c r="G160" s="4" t="str">
        <f>"08302"</f>
        <v>08302</v>
      </c>
      <c r="H160" s="1">
        <v>0</v>
      </c>
      <c r="I160" s="1">
        <v>0</v>
      </c>
      <c r="J160" s="1">
        <v>0</v>
      </c>
      <c r="K160" s="1">
        <v>76</v>
      </c>
      <c r="L160" s="1" t="s">
        <v>2804</v>
      </c>
      <c r="M160" s="1" t="s">
        <v>2805</v>
      </c>
      <c r="N160" s="1" t="s">
        <v>13</v>
      </c>
      <c r="O160" s="1" t="s">
        <v>2806</v>
      </c>
    </row>
    <row r="161" spans="1:15" x14ac:dyDescent="0.4">
      <c r="A161" s="1" t="s">
        <v>3468</v>
      </c>
      <c r="B161" s="1" t="s">
        <v>3467</v>
      </c>
      <c r="C161" s="1" t="s">
        <v>3471</v>
      </c>
      <c r="D161" s="1" t="s">
        <v>3472</v>
      </c>
      <c r="E161" s="1" t="s">
        <v>8024</v>
      </c>
      <c r="F161" s="1" t="s">
        <v>17</v>
      </c>
      <c r="G161" s="4" t="str">
        <f>"07044-2431"</f>
        <v>07044-2431</v>
      </c>
      <c r="H161" s="1">
        <v>0</v>
      </c>
      <c r="I161" s="1">
        <v>0</v>
      </c>
      <c r="J161" s="1">
        <v>0</v>
      </c>
      <c r="K161" s="1">
        <v>34</v>
      </c>
      <c r="L161" s="1" t="s">
        <v>43</v>
      </c>
      <c r="M161" s="1" t="s">
        <v>3469</v>
      </c>
      <c r="N161" s="1" t="s">
        <v>13</v>
      </c>
      <c r="O161" s="1" t="s">
        <v>3470</v>
      </c>
    </row>
    <row r="162" spans="1:15" x14ac:dyDescent="0.4">
      <c r="A162" s="1" t="s">
        <v>2974</v>
      </c>
      <c r="B162" s="1" t="s">
        <v>2958</v>
      </c>
      <c r="C162" s="1" t="s">
        <v>2977</v>
      </c>
      <c r="D162" s="1" t="s">
        <v>2964</v>
      </c>
      <c r="E162" s="1" t="s">
        <v>8024</v>
      </c>
      <c r="F162" s="1" t="s">
        <v>17</v>
      </c>
      <c r="G162" s="4" t="str">
        <f>"07003-3031"</f>
        <v>07003-3031</v>
      </c>
      <c r="H162" s="1">
        <v>0</v>
      </c>
      <c r="I162" s="1">
        <v>0</v>
      </c>
      <c r="J162" s="1">
        <v>0</v>
      </c>
      <c r="K162" s="1">
        <v>59</v>
      </c>
      <c r="L162" s="1" t="s">
        <v>611</v>
      </c>
      <c r="M162" s="1" t="s">
        <v>2975</v>
      </c>
      <c r="N162" s="1" t="s">
        <v>13</v>
      </c>
      <c r="O162" s="1" t="s">
        <v>2976</v>
      </c>
    </row>
    <row r="163" spans="1:15" x14ac:dyDescent="0.4">
      <c r="A163" s="1" t="s">
        <v>5776</v>
      </c>
      <c r="B163" s="1" t="s">
        <v>5770</v>
      </c>
      <c r="C163" s="1" t="s">
        <v>5778</v>
      </c>
      <c r="D163" s="1" t="s">
        <v>5775</v>
      </c>
      <c r="E163" s="1" t="s">
        <v>1503</v>
      </c>
      <c r="F163" s="1" t="s">
        <v>17</v>
      </c>
      <c r="G163" s="4" t="str">
        <f>"07932"</f>
        <v>07932</v>
      </c>
      <c r="H163" s="1">
        <v>0</v>
      </c>
      <c r="I163" s="1">
        <v>0</v>
      </c>
      <c r="J163" s="1">
        <v>0</v>
      </c>
      <c r="K163" s="1">
        <v>0</v>
      </c>
      <c r="L163" s="1" t="s">
        <v>306</v>
      </c>
      <c r="M163" s="1" t="s">
        <v>3279</v>
      </c>
      <c r="N163" s="1" t="s">
        <v>13</v>
      </c>
      <c r="O163" s="1" t="s">
        <v>5777</v>
      </c>
    </row>
    <row r="164" spans="1:15" x14ac:dyDescent="0.4">
      <c r="A164" s="1" t="s">
        <v>6030</v>
      </c>
      <c r="B164" s="1" t="s">
        <v>6029</v>
      </c>
      <c r="C164" s="1" t="s">
        <v>6032</v>
      </c>
      <c r="D164" s="1" t="s">
        <v>6033</v>
      </c>
      <c r="E164" s="1" t="s">
        <v>1503</v>
      </c>
      <c r="F164" s="1" t="s">
        <v>17</v>
      </c>
      <c r="G164" s="4" t="str">
        <f>"07054-2459"</f>
        <v>07054-2459</v>
      </c>
      <c r="H164" s="1">
        <v>0</v>
      </c>
      <c r="I164" s="1">
        <v>0</v>
      </c>
      <c r="J164" s="1">
        <v>0</v>
      </c>
      <c r="K164" s="1">
        <v>0</v>
      </c>
      <c r="L164" s="1" t="s">
        <v>833</v>
      </c>
      <c r="M164" s="1" t="s">
        <v>5378</v>
      </c>
      <c r="N164" s="1" t="s">
        <v>13</v>
      </c>
      <c r="O164" s="1" t="s">
        <v>6031</v>
      </c>
    </row>
    <row r="165" spans="1:15" x14ac:dyDescent="0.4">
      <c r="A165" s="1" t="s">
        <v>4969</v>
      </c>
      <c r="B165" s="1" t="s">
        <v>4968</v>
      </c>
      <c r="C165" s="1" t="s">
        <v>4972</v>
      </c>
      <c r="D165" s="1" t="s">
        <v>4973</v>
      </c>
      <c r="E165" s="1" t="s">
        <v>4704</v>
      </c>
      <c r="F165" s="1" t="s">
        <v>17</v>
      </c>
      <c r="G165" s="4" t="str">
        <f>"08852"</f>
        <v>08852</v>
      </c>
      <c r="H165" s="1">
        <v>1</v>
      </c>
      <c r="I165" s="1">
        <v>0.2</v>
      </c>
      <c r="J165" s="1">
        <v>0</v>
      </c>
      <c r="K165" s="1">
        <v>71</v>
      </c>
      <c r="L165" s="1" t="s">
        <v>2847</v>
      </c>
      <c r="M165" s="1" t="s">
        <v>4970</v>
      </c>
      <c r="N165" s="1" t="s">
        <v>13</v>
      </c>
      <c r="O165" s="1" t="s">
        <v>4971</v>
      </c>
    </row>
    <row r="166" spans="1:15" x14ac:dyDescent="0.4">
      <c r="A166" s="1" t="s">
        <v>1295</v>
      </c>
      <c r="B166" s="1" t="s">
        <v>1289</v>
      </c>
      <c r="C166" s="1" t="s">
        <v>1298</v>
      </c>
      <c r="D166" s="1" t="s">
        <v>1294</v>
      </c>
      <c r="E166" s="1" t="s">
        <v>8018</v>
      </c>
      <c r="F166" s="1" t="s">
        <v>17</v>
      </c>
      <c r="G166" s="4" t="str">
        <f>"07675-2935"</f>
        <v>07675-2935</v>
      </c>
      <c r="H166" s="1">
        <v>0</v>
      </c>
      <c r="I166" s="1">
        <v>0</v>
      </c>
      <c r="J166" s="1">
        <v>0</v>
      </c>
      <c r="K166" s="1">
        <v>56</v>
      </c>
      <c r="L166" s="1" t="s">
        <v>28</v>
      </c>
      <c r="M166" s="1" t="s">
        <v>1296</v>
      </c>
      <c r="N166" s="1" t="s">
        <v>13</v>
      </c>
      <c r="O166" s="1" t="s">
        <v>1297</v>
      </c>
    </row>
    <row r="167" spans="1:15" x14ac:dyDescent="0.4">
      <c r="A167" s="1" t="s">
        <v>1295</v>
      </c>
      <c r="B167" s="1" t="s">
        <v>4734</v>
      </c>
      <c r="C167" s="1" t="s">
        <v>4743</v>
      </c>
      <c r="D167" s="1" t="s">
        <v>4630</v>
      </c>
      <c r="E167" s="1" t="s">
        <v>8018</v>
      </c>
      <c r="F167" s="1" t="s">
        <v>17</v>
      </c>
      <c r="G167" s="4" t="str">
        <f>"08831"</f>
        <v>08831</v>
      </c>
      <c r="H167" s="1">
        <v>0</v>
      </c>
      <c r="I167" s="1">
        <v>0</v>
      </c>
      <c r="J167" s="1">
        <v>0</v>
      </c>
      <c r="K167" s="1">
        <v>56</v>
      </c>
      <c r="L167" s="1" t="s">
        <v>153</v>
      </c>
      <c r="M167" s="1" t="s">
        <v>4741</v>
      </c>
      <c r="N167" s="1" t="s">
        <v>13</v>
      </c>
      <c r="O167" s="1" t="s">
        <v>4742</v>
      </c>
    </row>
    <row r="168" spans="1:15" x14ac:dyDescent="0.4">
      <c r="A168" s="1" t="s">
        <v>7453</v>
      </c>
      <c r="B168" s="1" t="s">
        <v>7446</v>
      </c>
      <c r="C168" s="1" t="s">
        <v>7455</v>
      </c>
      <c r="D168" s="1" t="s">
        <v>7452</v>
      </c>
      <c r="E168" s="1" t="s">
        <v>7833</v>
      </c>
      <c r="F168" s="1" t="s">
        <v>17</v>
      </c>
      <c r="G168" s="4" t="str">
        <f>"07016"</f>
        <v>07016</v>
      </c>
      <c r="H168" s="1">
        <v>0</v>
      </c>
      <c r="I168" s="1">
        <v>0</v>
      </c>
      <c r="J168" s="1">
        <v>50</v>
      </c>
      <c r="K168" s="1">
        <v>0</v>
      </c>
      <c r="L168" s="1" t="s">
        <v>2707</v>
      </c>
      <c r="M168" s="1" t="s">
        <v>8038</v>
      </c>
      <c r="N168" s="1" t="s">
        <v>13</v>
      </c>
      <c r="O168" s="1" t="s">
        <v>7454</v>
      </c>
    </row>
    <row r="169" spans="1:15" x14ac:dyDescent="0.4">
      <c r="A169" s="1" t="s">
        <v>274</v>
      </c>
      <c r="B169" s="1" t="s">
        <v>273</v>
      </c>
      <c r="C169" s="1" t="s">
        <v>278</v>
      </c>
      <c r="D169" s="1" t="s">
        <v>279</v>
      </c>
      <c r="E169" s="1" t="s">
        <v>8018</v>
      </c>
      <c r="F169" s="1" t="s">
        <v>17</v>
      </c>
      <c r="G169" s="4" t="str">
        <f>"07401"</f>
        <v>07401</v>
      </c>
      <c r="H169" s="1">
        <v>0</v>
      </c>
      <c r="I169" s="1">
        <v>0</v>
      </c>
      <c r="J169" s="1">
        <v>0</v>
      </c>
      <c r="K169" s="1">
        <v>0</v>
      </c>
      <c r="L169" s="1" t="s">
        <v>275</v>
      </c>
      <c r="M169" s="1" t="s">
        <v>276</v>
      </c>
      <c r="N169" s="1" t="s">
        <v>13</v>
      </c>
      <c r="O169" s="1" t="s">
        <v>277</v>
      </c>
    </row>
    <row r="170" spans="1:15" x14ac:dyDescent="0.4">
      <c r="A170" s="1" t="s">
        <v>3270</v>
      </c>
      <c r="B170" s="1" t="s">
        <v>3249</v>
      </c>
      <c r="C170" s="1" t="s">
        <v>3274</v>
      </c>
      <c r="D170" s="1" t="s">
        <v>2526</v>
      </c>
      <c r="E170" s="1" t="s">
        <v>8024</v>
      </c>
      <c r="F170" s="1" t="s">
        <v>17</v>
      </c>
      <c r="G170" s="4" t="str">
        <f>"07112-1563"</f>
        <v>07112-1563</v>
      </c>
      <c r="H170" s="1">
        <v>1</v>
      </c>
      <c r="I170" s="1">
        <v>2.9</v>
      </c>
      <c r="J170" s="1">
        <v>0</v>
      </c>
      <c r="K170" s="1">
        <v>1</v>
      </c>
      <c r="L170" s="1" t="s">
        <v>3271</v>
      </c>
      <c r="M170" s="1" t="s">
        <v>3272</v>
      </c>
      <c r="N170" s="1" t="s">
        <v>13</v>
      </c>
      <c r="O170" s="1" t="s">
        <v>3273</v>
      </c>
    </row>
    <row r="171" spans="1:15" x14ac:dyDescent="0.4">
      <c r="A171" s="1" t="s">
        <v>2809</v>
      </c>
      <c r="B171" s="1" t="s">
        <v>2797</v>
      </c>
      <c r="C171" s="1" t="s">
        <v>2812</v>
      </c>
      <c r="D171" s="1" t="s">
        <v>2802</v>
      </c>
      <c r="E171" s="1" t="s">
        <v>8023</v>
      </c>
      <c r="F171" s="1" t="s">
        <v>17</v>
      </c>
      <c r="G171" s="4" t="str">
        <f>"08302-9501"</f>
        <v>08302-9501</v>
      </c>
      <c r="H171" s="1">
        <v>0</v>
      </c>
      <c r="I171" s="1">
        <v>0</v>
      </c>
      <c r="J171" s="1">
        <v>0</v>
      </c>
      <c r="K171" s="1">
        <v>70</v>
      </c>
      <c r="L171" s="1" t="s">
        <v>2267</v>
      </c>
      <c r="M171" s="1" t="s">
        <v>2810</v>
      </c>
      <c r="N171" s="1" t="s">
        <v>13</v>
      </c>
      <c r="O171" s="1" t="s">
        <v>2811</v>
      </c>
    </row>
    <row r="172" spans="1:15" x14ac:dyDescent="0.4">
      <c r="A172" s="1" t="s">
        <v>70</v>
      </c>
      <c r="B172" s="1" t="s">
        <v>69</v>
      </c>
      <c r="C172" s="1" t="s">
        <v>74</v>
      </c>
      <c r="D172" s="1" t="s">
        <v>75</v>
      </c>
      <c r="E172" s="1" t="s">
        <v>8017</v>
      </c>
      <c r="F172" s="1" t="s">
        <v>17</v>
      </c>
      <c r="G172" s="4" t="str">
        <f>"08310-9620"</f>
        <v>08310-9620</v>
      </c>
      <c r="H172" s="1">
        <v>0</v>
      </c>
      <c r="I172" s="1">
        <v>0</v>
      </c>
      <c r="J172" s="1">
        <v>0</v>
      </c>
      <c r="K172" s="1">
        <v>0</v>
      </c>
      <c r="L172" s="1" t="s">
        <v>71</v>
      </c>
      <c r="M172" s="1" t="s">
        <v>72</v>
      </c>
      <c r="N172" s="1" t="s">
        <v>13</v>
      </c>
      <c r="O172" s="1" t="s">
        <v>73</v>
      </c>
    </row>
    <row r="173" spans="1:15" x14ac:dyDescent="0.4">
      <c r="A173" s="1" t="s">
        <v>76</v>
      </c>
      <c r="B173" s="1" t="s">
        <v>69</v>
      </c>
      <c r="C173" s="1" t="s">
        <v>80</v>
      </c>
      <c r="D173" s="1" t="s">
        <v>75</v>
      </c>
      <c r="E173" s="1" t="s">
        <v>8017</v>
      </c>
      <c r="F173" s="1" t="s">
        <v>17</v>
      </c>
      <c r="G173" s="4" t="str">
        <f>"08310"</f>
        <v>08310</v>
      </c>
      <c r="H173" s="1">
        <v>0</v>
      </c>
      <c r="I173" s="1">
        <v>0</v>
      </c>
      <c r="J173" s="1">
        <v>0</v>
      </c>
      <c r="K173" s="1">
        <v>0</v>
      </c>
      <c r="L173" s="1" t="s">
        <v>77</v>
      </c>
      <c r="M173" s="1" t="s">
        <v>78</v>
      </c>
      <c r="N173" s="1" t="s">
        <v>13</v>
      </c>
      <c r="O173" s="1" t="s">
        <v>79</v>
      </c>
    </row>
    <row r="174" spans="1:15" x14ac:dyDescent="0.4">
      <c r="A174" s="1" t="s">
        <v>3752</v>
      </c>
      <c r="B174" s="1" t="s">
        <v>3741</v>
      </c>
      <c r="C174" s="1" t="s">
        <v>3754</v>
      </c>
      <c r="D174" s="1" t="s">
        <v>3580</v>
      </c>
      <c r="E174" s="1" t="s">
        <v>8020</v>
      </c>
      <c r="F174" s="1" t="s">
        <v>17</v>
      </c>
      <c r="G174" s="4" t="str">
        <f>"08080"</f>
        <v>08080</v>
      </c>
      <c r="H174" s="1">
        <v>0</v>
      </c>
      <c r="I174" s="1">
        <v>0</v>
      </c>
      <c r="J174" s="1">
        <v>0</v>
      </c>
      <c r="K174" s="1">
        <v>0</v>
      </c>
      <c r="L174" s="1" t="s">
        <v>158</v>
      </c>
      <c r="M174" s="1" t="s">
        <v>8039</v>
      </c>
      <c r="N174" s="1" t="s">
        <v>13</v>
      </c>
      <c r="O174" s="1" t="s">
        <v>3753</v>
      </c>
    </row>
    <row r="175" spans="1:15" x14ac:dyDescent="0.4">
      <c r="A175" s="1" t="s">
        <v>2461</v>
      </c>
      <c r="B175" s="1" t="s">
        <v>2461</v>
      </c>
      <c r="C175" s="1" t="s">
        <v>2464</v>
      </c>
      <c r="D175" s="1" t="s">
        <v>2465</v>
      </c>
      <c r="E175" s="1" t="s">
        <v>8022</v>
      </c>
      <c r="F175" s="1" t="s">
        <v>17</v>
      </c>
      <c r="G175" s="4" t="str">
        <f>"07111"</f>
        <v>07111</v>
      </c>
      <c r="H175" s="1">
        <v>0</v>
      </c>
      <c r="I175" s="1">
        <v>0</v>
      </c>
      <c r="J175" s="1">
        <v>0</v>
      </c>
      <c r="K175" s="1">
        <v>72</v>
      </c>
      <c r="L175" s="1" t="s">
        <v>997</v>
      </c>
      <c r="M175" s="1" t="s">
        <v>2462</v>
      </c>
      <c r="N175" s="1" t="s">
        <v>129</v>
      </c>
      <c r="O175" s="1" t="s">
        <v>2463</v>
      </c>
    </row>
    <row r="176" spans="1:15" x14ac:dyDescent="0.4">
      <c r="A176" s="1" t="s">
        <v>1364</v>
      </c>
      <c r="B176" s="1" t="s">
        <v>1363</v>
      </c>
      <c r="C176" s="1" t="s">
        <v>1368</v>
      </c>
      <c r="D176" s="1" t="s">
        <v>1347</v>
      </c>
      <c r="E176" s="1" t="s">
        <v>8019</v>
      </c>
      <c r="F176" s="1" t="s">
        <v>17</v>
      </c>
      <c r="G176" s="4" t="str">
        <f>"08016"</f>
        <v>08016</v>
      </c>
      <c r="H176" s="1">
        <v>0</v>
      </c>
      <c r="I176" s="1">
        <v>0</v>
      </c>
      <c r="J176" s="1">
        <v>0</v>
      </c>
      <c r="K176" s="1">
        <v>0</v>
      </c>
      <c r="L176" s="1" t="s">
        <v>1365</v>
      </c>
      <c r="M176" s="1" t="s">
        <v>1366</v>
      </c>
      <c r="N176" s="1" t="s">
        <v>13</v>
      </c>
      <c r="O176" s="1" t="s">
        <v>1367</v>
      </c>
    </row>
    <row r="177" spans="1:15" x14ac:dyDescent="0.4">
      <c r="A177" s="1" t="s">
        <v>1393</v>
      </c>
      <c r="B177" s="1" t="s">
        <v>1392</v>
      </c>
      <c r="C177" s="1" t="s">
        <v>1396</v>
      </c>
      <c r="D177" s="1" t="s">
        <v>1397</v>
      </c>
      <c r="E177" s="1" t="s">
        <v>8019</v>
      </c>
      <c r="F177" s="1" t="s">
        <v>17</v>
      </c>
      <c r="G177" s="4" t="str">
        <f>"08054"</f>
        <v>08054</v>
      </c>
      <c r="H177" s="1">
        <v>0</v>
      </c>
      <c r="I177" s="1">
        <v>0</v>
      </c>
      <c r="J177" s="1">
        <v>0</v>
      </c>
      <c r="K177" s="1">
        <v>0</v>
      </c>
      <c r="L177" s="1" t="s">
        <v>1141</v>
      </c>
      <c r="M177" s="1" t="s">
        <v>1394</v>
      </c>
      <c r="N177" s="1" t="s">
        <v>13</v>
      </c>
      <c r="O177" s="1" t="s">
        <v>1395</v>
      </c>
    </row>
    <row r="178" spans="1:15" x14ac:dyDescent="0.4">
      <c r="A178" s="1" t="s">
        <v>1383</v>
      </c>
      <c r="B178" s="1" t="s">
        <v>1379</v>
      </c>
      <c r="C178" s="1" t="s">
        <v>1385</v>
      </c>
      <c r="D178" s="1" t="s">
        <v>1386</v>
      </c>
      <c r="E178" s="1" t="s">
        <v>8019</v>
      </c>
      <c r="F178" s="1" t="s">
        <v>17</v>
      </c>
      <c r="G178" s="4" t="str">
        <f>"08055-9412"</f>
        <v>08055-9412</v>
      </c>
      <c r="H178" s="1">
        <v>0</v>
      </c>
      <c r="I178" s="1">
        <v>0</v>
      </c>
      <c r="J178" s="1">
        <v>0</v>
      </c>
      <c r="K178" s="1">
        <v>0</v>
      </c>
      <c r="L178" s="1" t="s">
        <v>158</v>
      </c>
      <c r="M178" s="1" t="s">
        <v>154</v>
      </c>
      <c r="N178" s="1" t="s">
        <v>13</v>
      </c>
      <c r="O178" s="1" t="s">
        <v>1384</v>
      </c>
    </row>
    <row r="179" spans="1:15" x14ac:dyDescent="0.4">
      <c r="A179" s="1" t="s">
        <v>1388</v>
      </c>
      <c r="B179" s="1" t="s">
        <v>1379</v>
      </c>
      <c r="C179" s="1" t="s">
        <v>1381</v>
      </c>
      <c r="D179" s="1" t="s">
        <v>1382</v>
      </c>
      <c r="E179" s="1" t="s">
        <v>8019</v>
      </c>
      <c r="F179" s="1" t="s">
        <v>17</v>
      </c>
      <c r="G179" s="4" t="str">
        <f>"08060-9614"</f>
        <v>08060-9614</v>
      </c>
      <c r="H179" s="1">
        <v>0</v>
      </c>
      <c r="I179" s="1">
        <v>0</v>
      </c>
      <c r="J179" s="1">
        <v>0</v>
      </c>
      <c r="K179" s="1">
        <v>0</v>
      </c>
      <c r="L179" s="1" t="s">
        <v>62</v>
      </c>
      <c r="M179" s="1" t="s">
        <v>1389</v>
      </c>
      <c r="N179" s="1" t="s">
        <v>13</v>
      </c>
      <c r="O179" s="1" t="s">
        <v>1390</v>
      </c>
    </row>
    <row r="180" spans="1:15" x14ac:dyDescent="0.4">
      <c r="A180" s="1" t="s">
        <v>1402</v>
      </c>
      <c r="B180" s="1" t="s">
        <v>1400</v>
      </c>
      <c r="C180" s="1" t="s">
        <v>1406</v>
      </c>
      <c r="D180" s="1" t="s">
        <v>1347</v>
      </c>
      <c r="E180" s="1" t="s">
        <v>8019</v>
      </c>
      <c r="F180" s="1" t="s">
        <v>17</v>
      </c>
      <c r="G180" s="4" t="str">
        <f>"08016"</f>
        <v>08016</v>
      </c>
      <c r="H180" s="1">
        <v>0</v>
      </c>
      <c r="I180" s="1">
        <v>0</v>
      </c>
      <c r="J180" s="1">
        <v>0</v>
      </c>
      <c r="K180" s="1">
        <v>0</v>
      </c>
      <c r="L180" s="1" t="s">
        <v>1403</v>
      </c>
      <c r="M180" s="1" t="s">
        <v>1404</v>
      </c>
      <c r="N180" s="1" t="s">
        <v>13</v>
      </c>
      <c r="O180" s="1" t="s">
        <v>1405</v>
      </c>
    </row>
    <row r="181" spans="1:15" x14ac:dyDescent="0.4">
      <c r="A181" s="1" t="s">
        <v>1407</v>
      </c>
      <c r="B181" s="1" t="s">
        <v>1400</v>
      </c>
      <c r="C181" s="1" t="s">
        <v>1411</v>
      </c>
      <c r="D181" s="1" t="s">
        <v>1347</v>
      </c>
      <c r="E181" s="1" t="s">
        <v>8019</v>
      </c>
      <c r="F181" s="1" t="s">
        <v>17</v>
      </c>
      <c r="G181" s="4" t="str">
        <f>"08016"</f>
        <v>08016</v>
      </c>
      <c r="H181" s="1">
        <v>0</v>
      </c>
      <c r="I181" s="1">
        <v>0</v>
      </c>
      <c r="J181" s="1">
        <v>0</v>
      </c>
      <c r="K181" s="1">
        <v>0</v>
      </c>
      <c r="L181" s="1" t="s">
        <v>1408</v>
      </c>
      <c r="M181" s="1" t="s">
        <v>1409</v>
      </c>
      <c r="N181" s="1" t="s">
        <v>13</v>
      </c>
      <c r="O181" s="1" t="s">
        <v>1410</v>
      </c>
    </row>
    <row r="182" spans="1:15" x14ac:dyDescent="0.4">
      <c r="A182" s="1" t="s">
        <v>7792</v>
      </c>
      <c r="B182" s="1" t="s">
        <v>7791</v>
      </c>
      <c r="C182" s="1" t="s">
        <v>7795</v>
      </c>
      <c r="D182" s="1" t="s">
        <v>2482</v>
      </c>
      <c r="E182" s="1" t="s">
        <v>7833</v>
      </c>
      <c r="F182" s="1" t="s">
        <v>17</v>
      </c>
      <c r="G182" s="4" t="str">
        <f>"07083"</f>
        <v>07083</v>
      </c>
      <c r="H182" s="1">
        <v>0</v>
      </c>
      <c r="I182" s="1">
        <v>0</v>
      </c>
      <c r="J182" s="1">
        <v>0</v>
      </c>
      <c r="K182" s="1">
        <v>0</v>
      </c>
      <c r="L182" s="1" t="s">
        <v>3051</v>
      </c>
      <c r="M182" s="1" t="s">
        <v>7793</v>
      </c>
      <c r="N182" s="1" t="s">
        <v>13</v>
      </c>
      <c r="O182" s="1" t="s">
        <v>7794</v>
      </c>
    </row>
    <row r="183" spans="1:15" x14ac:dyDescent="0.4">
      <c r="A183" s="1" t="s">
        <v>5712</v>
      </c>
      <c r="B183" s="1" t="s">
        <v>5706</v>
      </c>
      <c r="C183" s="1" t="s">
        <v>5714</v>
      </c>
      <c r="D183" s="1" t="s">
        <v>5711</v>
      </c>
      <c r="E183" s="1" t="s">
        <v>1503</v>
      </c>
      <c r="F183" s="1" t="s">
        <v>17</v>
      </c>
      <c r="G183" s="4" t="str">
        <f>"07405"</f>
        <v>07405</v>
      </c>
      <c r="H183" s="1">
        <v>0</v>
      </c>
      <c r="I183" s="1">
        <v>0</v>
      </c>
      <c r="J183" s="1">
        <v>0</v>
      </c>
      <c r="K183" s="1">
        <v>0</v>
      </c>
      <c r="L183" s="1" t="s">
        <v>77</v>
      </c>
      <c r="M183" s="1" t="s">
        <v>3516</v>
      </c>
      <c r="N183" s="1" t="s">
        <v>13</v>
      </c>
      <c r="O183" s="1" t="s">
        <v>5713</v>
      </c>
    </row>
    <row r="184" spans="1:15" x14ac:dyDescent="0.4">
      <c r="A184" s="1" t="s">
        <v>3210</v>
      </c>
      <c r="B184" s="1" t="s">
        <v>3202</v>
      </c>
      <c r="C184" s="1" t="s">
        <v>3213</v>
      </c>
      <c r="D184" s="1" t="s">
        <v>3208</v>
      </c>
      <c r="E184" s="1" t="s">
        <v>8024</v>
      </c>
      <c r="F184" s="1" t="s">
        <v>17</v>
      </c>
      <c r="G184" s="4" t="str">
        <f>"07042"</f>
        <v>07042</v>
      </c>
      <c r="H184" s="1">
        <v>0</v>
      </c>
      <c r="I184" s="1">
        <v>0</v>
      </c>
      <c r="J184" s="1">
        <v>0</v>
      </c>
      <c r="K184" s="1">
        <v>0</v>
      </c>
      <c r="L184" s="1" t="s">
        <v>3211</v>
      </c>
      <c r="M184" s="1" t="s">
        <v>2966</v>
      </c>
      <c r="N184" s="1" t="s">
        <v>13</v>
      </c>
      <c r="O184" s="1" t="s">
        <v>3212</v>
      </c>
    </row>
    <row r="185" spans="1:15" x14ac:dyDescent="0.4">
      <c r="A185" s="1" t="s">
        <v>7292</v>
      </c>
      <c r="B185" s="1" t="s">
        <v>7291</v>
      </c>
      <c r="C185" s="1" t="s">
        <v>7295</v>
      </c>
      <c r="D185" s="1" t="s">
        <v>7296</v>
      </c>
      <c r="E185" s="1" t="s">
        <v>8030</v>
      </c>
      <c r="F185" s="1" t="s">
        <v>17</v>
      </c>
      <c r="G185" s="4" t="str">
        <f>"07874"</f>
        <v>07874</v>
      </c>
      <c r="H185" s="1">
        <v>0</v>
      </c>
      <c r="I185" s="1">
        <v>0</v>
      </c>
      <c r="J185" s="1">
        <v>0</v>
      </c>
      <c r="K185" s="1">
        <v>0</v>
      </c>
      <c r="L185" s="1" t="s">
        <v>997</v>
      </c>
      <c r="M185" s="1" t="s">
        <v>7293</v>
      </c>
      <c r="N185" s="1" t="s">
        <v>13</v>
      </c>
      <c r="O185" s="1" t="s">
        <v>7294</v>
      </c>
    </row>
    <row r="186" spans="1:15" x14ac:dyDescent="0.4">
      <c r="A186" s="1" t="s">
        <v>7297</v>
      </c>
      <c r="B186" s="1" t="s">
        <v>7291</v>
      </c>
      <c r="C186" s="1" t="s">
        <v>7299</v>
      </c>
      <c r="D186" s="1" t="s">
        <v>7296</v>
      </c>
      <c r="E186" s="1" t="s">
        <v>8030</v>
      </c>
      <c r="F186" s="1" t="s">
        <v>17</v>
      </c>
      <c r="G186" s="4" t="str">
        <f>"07874"</f>
        <v>07874</v>
      </c>
      <c r="H186" s="1">
        <v>2</v>
      </c>
      <c r="I186" s="1">
        <v>0.5</v>
      </c>
      <c r="J186" s="1">
        <v>0</v>
      </c>
      <c r="K186" s="1">
        <v>82</v>
      </c>
      <c r="L186" s="1" t="s">
        <v>490</v>
      </c>
      <c r="M186" s="1" t="s">
        <v>1503</v>
      </c>
      <c r="N186" s="1" t="s">
        <v>13</v>
      </c>
      <c r="O186" s="1" t="s">
        <v>7298</v>
      </c>
    </row>
    <row r="187" spans="1:15" x14ac:dyDescent="0.4">
      <c r="A187" s="1" t="s">
        <v>5226</v>
      </c>
      <c r="B187" s="1" t="s">
        <v>5225</v>
      </c>
      <c r="C187" s="1" t="s">
        <v>5230</v>
      </c>
      <c r="D187" s="1" t="s">
        <v>5198</v>
      </c>
      <c r="E187" s="1" t="s">
        <v>8027</v>
      </c>
      <c r="F187" s="1" t="s">
        <v>17</v>
      </c>
      <c r="G187" s="4" t="str">
        <f>"07728-1328"</f>
        <v>07728-1328</v>
      </c>
      <c r="H187" s="1">
        <v>0</v>
      </c>
      <c r="I187" s="1">
        <v>0</v>
      </c>
      <c r="J187" s="1">
        <v>0</v>
      </c>
      <c r="K187" s="1">
        <v>46</v>
      </c>
      <c r="L187" s="1" t="s">
        <v>5227</v>
      </c>
      <c r="M187" s="1" t="s">
        <v>5228</v>
      </c>
      <c r="N187" s="1" t="s">
        <v>13</v>
      </c>
      <c r="O187" s="1" t="s">
        <v>5229</v>
      </c>
    </row>
    <row r="188" spans="1:15" x14ac:dyDescent="0.4">
      <c r="A188" s="1" t="s">
        <v>4406</v>
      </c>
      <c r="B188" s="1" t="s">
        <v>4393</v>
      </c>
      <c r="C188" s="1" t="s">
        <v>4409</v>
      </c>
      <c r="D188" s="1" t="s">
        <v>2600</v>
      </c>
      <c r="E188" s="1" t="s">
        <v>8026</v>
      </c>
      <c r="F188" s="1" t="s">
        <v>17</v>
      </c>
      <c r="G188" s="4" t="str">
        <f>"08618"</f>
        <v>08618</v>
      </c>
      <c r="H188" s="1">
        <v>0</v>
      </c>
      <c r="I188" s="1">
        <v>0</v>
      </c>
      <c r="J188" s="1">
        <v>0</v>
      </c>
      <c r="K188" s="1">
        <v>53</v>
      </c>
      <c r="L188" s="1" t="s">
        <v>874</v>
      </c>
      <c r="M188" s="1" t="s">
        <v>4407</v>
      </c>
      <c r="N188" s="1" t="s">
        <v>13</v>
      </c>
      <c r="O188" s="1" t="s">
        <v>4408</v>
      </c>
    </row>
    <row r="189" spans="1:15" x14ac:dyDescent="0.4">
      <c r="A189" s="1" t="s">
        <v>1332</v>
      </c>
      <c r="B189" s="1" t="s">
        <v>1327</v>
      </c>
      <c r="C189" s="1" t="s">
        <v>1335</v>
      </c>
      <c r="D189" s="1" t="s">
        <v>1331</v>
      </c>
      <c r="E189" s="1" t="s">
        <v>8018</v>
      </c>
      <c r="F189" s="1" t="s">
        <v>17</v>
      </c>
      <c r="G189" s="4" t="str">
        <f>"07481-2517"</f>
        <v>07481-2517</v>
      </c>
      <c r="H189" s="1">
        <v>0</v>
      </c>
      <c r="I189" s="1">
        <v>0</v>
      </c>
      <c r="J189" s="1">
        <v>0</v>
      </c>
      <c r="K189" s="1">
        <v>48</v>
      </c>
      <c r="L189" s="1" t="s">
        <v>306</v>
      </c>
      <c r="M189" s="1" t="s">
        <v>1333</v>
      </c>
      <c r="N189" s="1" t="s">
        <v>13</v>
      </c>
      <c r="O189" s="1" t="s">
        <v>1334</v>
      </c>
    </row>
    <row r="190" spans="1:15" x14ac:dyDescent="0.4">
      <c r="A190" s="1" t="s">
        <v>4977</v>
      </c>
      <c r="B190" s="1" t="s">
        <v>4968</v>
      </c>
      <c r="C190" s="1" t="s">
        <v>4980</v>
      </c>
      <c r="D190" s="1" t="s">
        <v>4975</v>
      </c>
      <c r="E190" s="1" t="s">
        <v>4704</v>
      </c>
      <c r="F190" s="1" t="s">
        <v>17</v>
      </c>
      <c r="G190" s="4" t="str">
        <f>"08824"</f>
        <v>08824</v>
      </c>
      <c r="H190" s="1">
        <v>0</v>
      </c>
      <c r="I190" s="1">
        <v>0</v>
      </c>
      <c r="J190" s="1">
        <v>0</v>
      </c>
      <c r="K190" s="1">
        <v>53</v>
      </c>
      <c r="L190" s="1" t="s">
        <v>4978</v>
      </c>
      <c r="M190" s="1" t="s">
        <v>1693</v>
      </c>
      <c r="N190" s="1" t="s">
        <v>13</v>
      </c>
      <c r="O190" s="1" t="s">
        <v>4979</v>
      </c>
    </row>
    <row r="191" spans="1:15" x14ac:dyDescent="0.4">
      <c r="A191" s="1" t="s">
        <v>1873</v>
      </c>
      <c r="B191" s="1" t="s">
        <v>1872</v>
      </c>
      <c r="C191" s="1" t="s">
        <v>1876</v>
      </c>
      <c r="D191" s="1" t="s">
        <v>1810</v>
      </c>
      <c r="E191" s="1" t="s">
        <v>1909</v>
      </c>
      <c r="F191" s="1" t="s">
        <v>17</v>
      </c>
      <c r="G191" s="4" t="str">
        <f>"08103"</f>
        <v>08103</v>
      </c>
      <c r="H191" s="1">
        <v>0</v>
      </c>
      <c r="I191" s="1">
        <v>0</v>
      </c>
      <c r="J191" s="1">
        <v>0</v>
      </c>
      <c r="K191" s="1">
        <v>0</v>
      </c>
      <c r="L191" s="1" t="s">
        <v>997</v>
      </c>
      <c r="M191" s="1" t="s">
        <v>1874</v>
      </c>
      <c r="N191" s="1" t="s">
        <v>13</v>
      </c>
      <c r="O191" s="1" t="s">
        <v>1875</v>
      </c>
    </row>
    <row r="192" spans="1:15" x14ac:dyDescent="0.4">
      <c r="A192" s="1" t="s">
        <v>1913</v>
      </c>
      <c r="B192" s="1" t="s">
        <v>1912</v>
      </c>
      <c r="C192" s="1" t="s">
        <v>1916</v>
      </c>
      <c r="D192" s="1" t="s">
        <v>1917</v>
      </c>
      <c r="E192" s="1" t="s">
        <v>1909</v>
      </c>
      <c r="F192" s="1" t="s">
        <v>17</v>
      </c>
      <c r="G192" s="4" t="str">
        <f>"08081"</f>
        <v>08081</v>
      </c>
      <c r="H192" s="1">
        <v>0</v>
      </c>
      <c r="I192" s="1">
        <v>0</v>
      </c>
      <c r="J192" s="1">
        <v>0</v>
      </c>
      <c r="K192" s="1">
        <v>0</v>
      </c>
      <c r="L192" s="1" t="s">
        <v>1914</v>
      </c>
      <c r="M192" s="1" t="s">
        <v>1477</v>
      </c>
      <c r="N192" s="1" t="s">
        <v>13</v>
      </c>
      <c r="O192" s="1" t="s">
        <v>1915</v>
      </c>
    </row>
    <row r="193" spans="1:15" x14ac:dyDescent="0.4">
      <c r="A193" s="1" t="s">
        <v>1918</v>
      </c>
      <c r="B193" s="1" t="s">
        <v>1912</v>
      </c>
      <c r="C193" s="1" t="s">
        <v>1921</v>
      </c>
      <c r="D193" s="1" t="s">
        <v>1922</v>
      </c>
      <c r="E193" s="1" t="s">
        <v>1909</v>
      </c>
      <c r="F193" s="1" t="s">
        <v>17</v>
      </c>
      <c r="G193" s="4" t="str">
        <f>"08109"</f>
        <v>08109</v>
      </c>
      <c r="H193" s="1">
        <v>0</v>
      </c>
      <c r="I193" s="1">
        <v>0</v>
      </c>
      <c r="J193" s="1">
        <v>0</v>
      </c>
      <c r="K193" s="1">
        <v>0</v>
      </c>
      <c r="L193" s="1" t="s">
        <v>1408</v>
      </c>
      <c r="M193" s="1" t="s">
        <v>1919</v>
      </c>
      <c r="N193" s="1" t="s">
        <v>13</v>
      </c>
      <c r="O193" s="1" t="s">
        <v>1920</v>
      </c>
    </row>
    <row r="194" spans="1:15" x14ac:dyDescent="0.4">
      <c r="A194" s="1" t="s">
        <v>1877</v>
      </c>
      <c r="B194" s="1" t="s">
        <v>1872</v>
      </c>
      <c r="C194" s="1" t="s">
        <v>1879</v>
      </c>
      <c r="D194" s="1" t="s">
        <v>1810</v>
      </c>
      <c r="E194" s="1" t="s">
        <v>1909</v>
      </c>
      <c r="F194" s="1" t="s">
        <v>17</v>
      </c>
      <c r="G194" s="4" t="str">
        <f>"08103"</f>
        <v>08103</v>
      </c>
      <c r="H194" s="1">
        <v>0</v>
      </c>
      <c r="I194" s="1">
        <v>0</v>
      </c>
      <c r="J194" s="1">
        <v>0</v>
      </c>
      <c r="K194" s="1">
        <v>0</v>
      </c>
      <c r="L194" s="1" t="s">
        <v>34</v>
      </c>
      <c r="M194" s="1" t="s">
        <v>355</v>
      </c>
      <c r="N194" s="1" t="s">
        <v>13</v>
      </c>
      <c r="O194" s="1" t="s">
        <v>1878</v>
      </c>
    </row>
    <row r="195" spans="1:15" x14ac:dyDescent="0.4">
      <c r="A195" s="1" t="s">
        <v>8051</v>
      </c>
      <c r="B195" s="1" t="s">
        <v>8051</v>
      </c>
      <c r="C195" s="1" t="s">
        <v>1926</v>
      </c>
      <c r="D195" s="1" t="s">
        <v>1909</v>
      </c>
      <c r="E195" s="1" t="s">
        <v>1909</v>
      </c>
      <c r="F195" s="1" t="s">
        <v>17</v>
      </c>
      <c r="G195" s="4" t="str">
        <f>"08104"</f>
        <v>08104</v>
      </c>
      <c r="H195" s="1">
        <v>0</v>
      </c>
      <c r="I195" s="1">
        <v>0</v>
      </c>
      <c r="J195" s="1">
        <v>0</v>
      </c>
      <c r="K195" s="1">
        <v>77</v>
      </c>
      <c r="L195" s="1" t="s">
        <v>364</v>
      </c>
      <c r="M195" s="1" t="s">
        <v>1923</v>
      </c>
      <c r="N195" s="1" t="s">
        <v>1924</v>
      </c>
      <c r="O195" s="1" t="s">
        <v>1925</v>
      </c>
    </row>
    <row r="196" spans="1:15" x14ac:dyDescent="0.4">
      <c r="A196" s="1" t="s">
        <v>4671</v>
      </c>
      <c r="B196" s="1" t="s">
        <v>4670</v>
      </c>
      <c r="C196" s="1" t="s">
        <v>4673</v>
      </c>
      <c r="D196" s="1" t="s">
        <v>4674</v>
      </c>
      <c r="E196" s="1" t="s">
        <v>4704</v>
      </c>
      <c r="F196" s="1" t="s">
        <v>17</v>
      </c>
      <c r="G196" s="4" t="str">
        <f>"08840"</f>
        <v>08840</v>
      </c>
      <c r="H196" s="1">
        <v>0</v>
      </c>
      <c r="I196" s="1">
        <v>0</v>
      </c>
      <c r="J196" s="1">
        <v>0</v>
      </c>
      <c r="K196" s="1">
        <v>0</v>
      </c>
      <c r="L196" s="1" t="s">
        <v>162</v>
      </c>
      <c r="M196" s="1" t="s">
        <v>4407</v>
      </c>
      <c r="N196" s="1" t="s">
        <v>13</v>
      </c>
      <c r="O196" s="1" t="s">
        <v>4672</v>
      </c>
    </row>
    <row r="197" spans="1:15" x14ac:dyDescent="0.4">
      <c r="A197" s="1" t="s">
        <v>2316</v>
      </c>
      <c r="B197" s="1" t="s">
        <v>2315</v>
      </c>
      <c r="C197" s="1" t="s">
        <v>2319</v>
      </c>
      <c r="D197" s="1" t="s">
        <v>2320</v>
      </c>
      <c r="E197" s="1" t="s">
        <v>8021</v>
      </c>
      <c r="F197" s="1" t="s">
        <v>17</v>
      </c>
      <c r="G197" s="4" t="str">
        <f>"08210"</f>
        <v>08210</v>
      </c>
      <c r="H197" s="1">
        <v>0</v>
      </c>
      <c r="I197" s="1">
        <v>0</v>
      </c>
      <c r="J197" s="1">
        <v>0</v>
      </c>
      <c r="K197" s="1">
        <v>0</v>
      </c>
      <c r="L197" s="1" t="s">
        <v>662</v>
      </c>
      <c r="M197" s="1" t="s">
        <v>2317</v>
      </c>
      <c r="N197" s="1" t="s">
        <v>91</v>
      </c>
      <c r="O197" s="1" t="s">
        <v>2318</v>
      </c>
    </row>
    <row r="198" spans="1:15" x14ac:dyDescent="0.4">
      <c r="A198" s="1" t="s">
        <v>2323</v>
      </c>
      <c r="B198" s="1" t="s">
        <v>2321</v>
      </c>
      <c r="C198" s="1" t="s">
        <v>2326</v>
      </c>
      <c r="D198" s="1" t="s">
        <v>2320</v>
      </c>
      <c r="E198" s="1" t="s">
        <v>8021</v>
      </c>
      <c r="F198" s="1" t="s">
        <v>17</v>
      </c>
      <c r="G198" s="4" t="str">
        <f>"08210"</f>
        <v>08210</v>
      </c>
      <c r="H198" s="1">
        <v>0</v>
      </c>
      <c r="I198" s="1">
        <v>0</v>
      </c>
      <c r="J198" s="1">
        <v>0</v>
      </c>
      <c r="K198" s="1">
        <v>0</v>
      </c>
      <c r="L198" s="1" t="s">
        <v>1086</v>
      </c>
      <c r="M198" s="1" t="s">
        <v>2324</v>
      </c>
      <c r="N198" s="1" t="s">
        <v>13</v>
      </c>
      <c r="O198" s="1" t="s">
        <v>2325</v>
      </c>
    </row>
    <row r="199" spans="1:15" x14ac:dyDescent="0.4">
      <c r="A199" s="1" t="s">
        <v>4410</v>
      </c>
      <c r="B199" s="1" t="s">
        <v>4393</v>
      </c>
      <c r="C199" s="1" t="s">
        <v>4412</v>
      </c>
      <c r="D199" s="1" t="s">
        <v>2600</v>
      </c>
      <c r="E199" s="1" t="s">
        <v>8026</v>
      </c>
      <c r="F199" s="1" t="s">
        <v>17</v>
      </c>
      <c r="G199" s="4" t="str">
        <f>"08618"</f>
        <v>08618</v>
      </c>
      <c r="H199" s="1">
        <v>0</v>
      </c>
      <c r="I199" s="1">
        <v>0</v>
      </c>
      <c r="J199" s="1">
        <v>0</v>
      </c>
      <c r="K199" s="1">
        <v>0</v>
      </c>
      <c r="L199" s="1" t="s">
        <v>413</v>
      </c>
      <c r="M199" s="1" t="s">
        <v>39</v>
      </c>
      <c r="N199" s="1" t="s">
        <v>13</v>
      </c>
      <c r="O199" s="1" t="s">
        <v>4411</v>
      </c>
    </row>
    <row r="200" spans="1:15" x14ac:dyDescent="0.4">
      <c r="A200" s="1" t="s">
        <v>1370</v>
      </c>
      <c r="B200" s="1" t="s">
        <v>1363</v>
      </c>
      <c r="C200" s="1" t="s">
        <v>1374</v>
      </c>
      <c r="D200" s="1" t="s">
        <v>1347</v>
      </c>
      <c r="E200" s="1" t="s">
        <v>8019</v>
      </c>
      <c r="F200" s="1" t="s">
        <v>17</v>
      </c>
      <c r="G200" s="4" t="str">
        <f>"08016"</f>
        <v>08016</v>
      </c>
      <c r="H200" s="1">
        <v>0</v>
      </c>
      <c r="I200" s="1">
        <v>0</v>
      </c>
      <c r="J200" s="1">
        <v>0</v>
      </c>
      <c r="K200" s="1">
        <v>77</v>
      </c>
      <c r="L200" s="1" t="s">
        <v>1371</v>
      </c>
      <c r="M200" s="1" t="s">
        <v>1372</v>
      </c>
      <c r="N200" s="1" t="s">
        <v>923</v>
      </c>
      <c r="O200" s="1" t="s">
        <v>1373</v>
      </c>
    </row>
    <row r="201" spans="1:15" x14ac:dyDescent="0.4">
      <c r="A201" s="1" t="s">
        <v>7437</v>
      </c>
      <c r="B201" s="1" t="s">
        <v>7432</v>
      </c>
      <c r="C201" s="1" t="s">
        <v>7440</v>
      </c>
      <c r="D201" s="1" t="s">
        <v>7436</v>
      </c>
      <c r="E201" s="1" t="s">
        <v>7833</v>
      </c>
      <c r="F201" s="1" t="s">
        <v>17</v>
      </c>
      <c r="G201" s="4" t="str">
        <f>"07066"</f>
        <v>07066</v>
      </c>
      <c r="H201" s="1">
        <v>0</v>
      </c>
      <c r="I201" s="1">
        <v>0</v>
      </c>
      <c r="J201" s="1">
        <v>0</v>
      </c>
      <c r="K201" s="1">
        <v>0</v>
      </c>
      <c r="L201" s="1" t="s">
        <v>657</v>
      </c>
      <c r="M201" s="1" t="s">
        <v>7438</v>
      </c>
      <c r="N201" s="1" t="s">
        <v>13</v>
      </c>
      <c r="O201" s="1" t="s">
        <v>7439</v>
      </c>
    </row>
    <row r="202" spans="1:15" x14ac:dyDescent="0.4">
      <c r="A202" s="1" t="s">
        <v>4814</v>
      </c>
      <c r="B202" s="1" t="s">
        <v>4808</v>
      </c>
      <c r="C202" s="1" t="s">
        <v>4816</v>
      </c>
      <c r="D202" s="1" t="s">
        <v>4813</v>
      </c>
      <c r="E202" s="1" t="s">
        <v>4704</v>
      </c>
      <c r="F202" s="1" t="s">
        <v>17</v>
      </c>
      <c r="G202" s="4" t="str">
        <f>"08857"</f>
        <v>08857</v>
      </c>
      <c r="H202" s="1">
        <v>0</v>
      </c>
      <c r="I202" s="1">
        <v>0</v>
      </c>
      <c r="J202" s="1">
        <v>0</v>
      </c>
      <c r="K202" s="1">
        <v>0</v>
      </c>
      <c r="L202" s="1" t="s">
        <v>997</v>
      </c>
      <c r="M202" s="1" t="s">
        <v>3165</v>
      </c>
      <c r="N202" s="1" t="s">
        <v>13</v>
      </c>
      <c r="O202" s="1" t="s">
        <v>4815</v>
      </c>
    </row>
    <row r="203" spans="1:15" x14ac:dyDescent="0.4">
      <c r="A203" s="1" t="s">
        <v>6294</v>
      </c>
      <c r="B203" s="1" t="s">
        <v>6293</v>
      </c>
      <c r="C203" s="1" t="s">
        <v>6297</v>
      </c>
      <c r="D203" s="1" t="s">
        <v>1326</v>
      </c>
      <c r="E203" s="1" t="s">
        <v>8028</v>
      </c>
      <c r="F203" s="1" t="s">
        <v>17</v>
      </c>
      <c r="G203" s="4" t="str">
        <f>"08527-3497"</f>
        <v>08527-3497</v>
      </c>
      <c r="H203" s="1">
        <v>0</v>
      </c>
      <c r="I203" s="1">
        <v>0</v>
      </c>
      <c r="J203" s="1">
        <v>0</v>
      </c>
      <c r="K203" s="1">
        <v>0</v>
      </c>
      <c r="L203" s="1" t="s">
        <v>3032</v>
      </c>
      <c r="M203" s="1" t="s">
        <v>6295</v>
      </c>
      <c r="N203" s="1" t="s">
        <v>13</v>
      </c>
      <c r="O203" s="1" t="s">
        <v>6296</v>
      </c>
    </row>
    <row r="204" spans="1:15" x14ac:dyDescent="0.4">
      <c r="A204" s="1" t="s">
        <v>3727</v>
      </c>
      <c r="B204" s="1" t="s">
        <v>3726</v>
      </c>
      <c r="C204" s="1" t="s">
        <v>3731</v>
      </c>
      <c r="D204" s="1" t="s">
        <v>3565</v>
      </c>
      <c r="E204" s="1" t="s">
        <v>8020</v>
      </c>
      <c r="F204" s="1" t="s">
        <v>17</v>
      </c>
      <c r="G204" s="4" t="str">
        <f>"08322-2522"</f>
        <v>08322-2522</v>
      </c>
      <c r="H204" s="1">
        <v>0</v>
      </c>
      <c r="I204" s="1">
        <v>0</v>
      </c>
      <c r="J204" s="1">
        <v>0</v>
      </c>
      <c r="K204" s="1">
        <v>0</v>
      </c>
      <c r="L204" s="1" t="s">
        <v>3728</v>
      </c>
      <c r="M204" s="1" t="s">
        <v>3729</v>
      </c>
      <c r="N204" s="1" t="s">
        <v>13</v>
      </c>
      <c r="O204" s="1" t="s">
        <v>3730</v>
      </c>
    </row>
    <row r="205" spans="1:15" x14ac:dyDescent="0.4">
      <c r="A205" s="1" t="s">
        <v>4413</v>
      </c>
      <c r="B205" s="1" t="s">
        <v>4393</v>
      </c>
      <c r="C205" s="1" t="s">
        <v>4416</v>
      </c>
      <c r="D205" s="1" t="s">
        <v>2600</v>
      </c>
      <c r="E205" s="1" t="s">
        <v>8026</v>
      </c>
      <c r="F205" s="1" t="s">
        <v>17</v>
      </c>
      <c r="G205" s="4" t="str">
        <f>"08609"</f>
        <v>08609</v>
      </c>
      <c r="H205" s="1">
        <v>0</v>
      </c>
      <c r="I205" s="1">
        <v>0</v>
      </c>
      <c r="J205" s="1">
        <v>0</v>
      </c>
      <c r="K205" s="1">
        <v>109</v>
      </c>
      <c r="L205" s="1" t="s">
        <v>4414</v>
      </c>
      <c r="M205" s="1" t="s">
        <v>2951</v>
      </c>
      <c r="N205" s="1" t="s">
        <v>13</v>
      </c>
      <c r="O205" s="1" t="s">
        <v>4415</v>
      </c>
    </row>
    <row r="206" spans="1:15" x14ac:dyDescent="0.4">
      <c r="A206" s="1" t="s">
        <v>2978</v>
      </c>
      <c r="B206" s="1" t="s">
        <v>2958</v>
      </c>
      <c r="C206" s="1" t="s">
        <v>2981</v>
      </c>
      <c r="D206" s="1" t="s">
        <v>2964</v>
      </c>
      <c r="E206" s="1" t="s">
        <v>8024</v>
      </c>
      <c r="F206" s="1" t="s">
        <v>17</v>
      </c>
      <c r="G206" s="4" t="str">
        <f>"07003-5650"</f>
        <v>07003-5650</v>
      </c>
      <c r="H206" s="1">
        <v>0</v>
      </c>
      <c r="I206" s="1">
        <v>0</v>
      </c>
      <c r="J206" s="1">
        <v>0</v>
      </c>
      <c r="K206" s="1">
        <v>54</v>
      </c>
      <c r="L206" s="1" t="s">
        <v>434</v>
      </c>
      <c r="M206" s="1" t="s">
        <v>2979</v>
      </c>
      <c r="N206" s="1" t="s">
        <v>13</v>
      </c>
      <c r="O206" s="1" t="s">
        <v>2980</v>
      </c>
    </row>
    <row r="207" spans="1:15" x14ac:dyDescent="0.4">
      <c r="A207" s="1" t="s">
        <v>4521</v>
      </c>
      <c r="B207" s="1" t="s">
        <v>4520</v>
      </c>
      <c r="C207" s="1" t="s">
        <v>4525</v>
      </c>
      <c r="D207" s="1" t="s">
        <v>4526</v>
      </c>
      <c r="E207" s="1" t="s">
        <v>4704</v>
      </c>
      <c r="F207" s="1" t="s">
        <v>17</v>
      </c>
      <c r="G207" s="4" t="str">
        <f>"07008"</f>
        <v>07008</v>
      </c>
      <c r="H207" s="1">
        <v>0</v>
      </c>
      <c r="I207" s="1">
        <v>0</v>
      </c>
      <c r="J207" s="1">
        <v>0</v>
      </c>
      <c r="K207" s="1">
        <v>0</v>
      </c>
      <c r="L207" s="1" t="s">
        <v>4522</v>
      </c>
      <c r="M207" s="1" t="s">
        <v>4523</v>
      </c>
      <c r="N207" s="1" t="s">
        <v>13</v>
      </c>
      <c r="O207" s="1" t="s">
        <v>4524</v>
      </c>
    </row>
    <row r="208" spans="1:15" x14ac:dyDescent="0.4">
      <c r="A208" s="1" t="s">
        <v>4527</v>
      </c>
      <c r="B208" s="1" t="s">
        <v>4520</v>
      </c>
      <c r="C208" s="1" t="s">
        <v>4529</v>
      </c>
      <c r="D208" s="1" t="s">
        <v>4530</v>
      </c>
      <c r="E208" s="1" t="s">
        <v>4704</v>
      </c>
      <c r="F208" s="1" t="s">
        <v>17</v>
      </c>
      <c r="G208" s="4" t="str">
        <f>"07008"</f>
        <v>07008</v>
      </c>
      <c r="H208" s="1">
        <v>0</v>
      </c>
      <c r="I208" s="1">
        <v>0</v>
      </c>
      <c r="J208" s="1">
        <v>0</v>
      </c>
      <c r="K208" s="1">
        <v>0</v>
      </c>
      <c r="L208" s="1" t="s">
        <v>1639</v>
      </c>
      <c r="M208" s="1" t="s">
        <v>945</v>
      </c>
      <c r="N208" s="1" t="s">
        <v>13</v>
      </c>
      <c r="O208" s="1" t="s">
        <v>4528</v>
      </c>
    </row>
    <row r="209" spans="1:15" x14ac:dyDescent="0.4">
      <c r="A209" s="1" t="s">
        <v>4531</v>
      </c>
      <c r="B209" s="1" t="s">
        <v>4520</v>
      </c>
      <c r="C209" s="1" t="s">
        <v>4535</v>
      </c>
      <c r="D209" s="1" t="s">
        <v>4526</v>
      </c>
      <c r="E209" s="1" t="s">
        <v>4704</v>
      </c>
      <c r="F209" s="1" t="s">
        <v>17</v>
      </c>
      <c r="G209" s="4" t="str">
        <f>"07008"</f>
        <v>07008</v>
      </c>
      <c r="H209" s="1">
        <v>0</v>
      </c>
      <c r="I209" s="1">
        <v>0</v>
      </c>
      <c r="J209" s="1">
        <v>0</v>
      </c>
      <c r="K209" s="1">
        <v>0</v>
      </c>
      <c r="L209" s="1" t="s">
        <v>4532</v>
      </c>
      <c r="M209" s="1" t="s">
        <v>4533</v>
      </c>
      <c r="N209" s="1" t="s">
        <v>13</v>
      </c>
      <c r="O209" s="1" t="s">
        <v>4534</v>
      </c>
    </row>
    <row r="210" spans="1:15" x14ac:dyDescent="0.4">
      <c r="A210" s="1" t="s">
        <v>6123</v>
      </c>
      <c r="B210" s="1" t="s">
        <v>6118</v>
      </c>
      <c r="C210" s="1" t="s">
        <v>6125</v>
      </c>
      <c r="D210" s="1" t="s">
        <v>5818</v>
      </c>
      <c r="E210" s="1" t="s">
        <v>1503</v>
      </c>
      <c r="F210" s="1" t="s">
        <v>17</v>
      </c>
      <c r="G210" s="4" t="str">
        <f>"07885"</f>
        <v>07885</v>
      </c>
      <c r="H210" s="1">
        <v>0</v>
      </c>
      <c r="I210" s="1">
        <v>0</v>
      </c>
      <c r="J210" s="1">
        <v>0</v>
      </c>
      <c r="K210" s="1">
        <v>52</v>
      </c>
      <c r="L210" s="1" t="s">
        <v>158</v>
      </c>
      <c r="M210" s="1" t="s">
        <v>2189</v>
      </c>
      <c r="N210" s="1" t="s">
        <v>13</v>
      </c>
      <c r="O210" s="1" t="s">
        <v>6124</v>
      </c>
    </row>
    <row r="211" spans="1:15" x14ac:dyDescent="0.4">
      <c r="A211" s="1" t="s">
        <v>6207</v>
      </c>
      <c r="B211" s="1" t="s">
        <v>6201</v>
      </c>
      <c r="C211" s="1" t="s">
        <v>6210</v>
      </c>
      <c r="D211" s="1" t="s">
        <v>6206</v>
      </c>
      <c r="E211" s="1" t="s">
        <v>8028</v>
      </c>
      <c r="F211" s="1" t="s">
        <v>17</v>
      </c>
      <c r="G211" s="4" t="str">
        <f>"08005"</f>
        <v>08005</v>
      </c>
      <c r="H211" s="1">
        <v>0</v>
      </c>
      <c r="I211" s="1">
        <v>0</v>
      </c>
      <c r="J211" s="1">
        <v>0</v>
      </c>
      <c r="K211" s="1">
        <v>246</v>
      </c>
      <c r="L211" s="1" t="s">
        <v>6208</v>
      </c>
      <c r="M211" s="1" t="s">
        <v>1477</v>
      </c>
      <c r="N211" s="1" t="s">
        <v>13</v>
      </c>
      <c r="O211" s="1" t="s">
        <v>6209</v>
      </c>
    </row>
    <row r="212" spans="1:15" x14ac:dyDescent="0.4">
      <c r="A212" s="1" t="s">
        <v>6307</v>
      </c>
      <c r="B212" s="1" t="s">
        <v>6306</v>
      </c>
      <c r="C212" s="1" t="s">
        <v>6310</v>
      </c>
      <c r="D212" s="1" t="s">
        <v>6311</v>
      </c>
      <c r="E212" s="1" t="s">
        <v>8028</v>
      </c>
      <c r="F212" s="1" t="s">
        <v>17</v>
      </c>
      <c r="G212" s="4" t="str">
        <f>"08734-0313"</f>
        <v>08734-0313</v>
      </c>
      <c r="H212" s="1">
        <v>0</v>
      </c>
      <c r="I212" s="1">
        <v>0</v>
      </c>
      <c r="J212" s="1">
        <v>0</v>
      </c>
      <c r="K212" s="1">
        <v>0</v>
      </c>
      <c r="L212" s="1" t="s">
        <v>1187</v>
      </c>
      <c r="M212" s="1" t="s">
        <v>6308</v>
      </c>
      <c r="N212" s="1" t="s">
        <v>13</v>
      </c>
      <c r="O212" s="1" t="s">
        <v>6309</v>
      </c>
    </row>
    <row r="213" spans="1:15" x14ac:dyDescent="0.4">
      <c r="A213" s="1" t="s">
        <v>152</v>
      </c>
      <c r="B213" s="1" t="s">
        <v>144</v>
      </c>
      <c r="C213" s="1" t="s">
        <v>156</v>
      </c>
      <c r="D213" s="1" t="s">
        <v>92</v>
      </c>
      <c r="E213" s="1" t="s">
        <v>8017</v>
      </c>
      <c r="F213" s="1" t="s">
        <v>17</v>
      </c>
      <c r="G213" s="4" t="str">
        <f>"08215-1606"</f>
        <v>08215-1606</v>
      </c>
      <c r="H213" s="1">
        <v>0</v>
      </c>
      <c r="I213" s="1">
        <v>0</v>
      </c>
      <c r="J213" s="1">
        <v>0</v>
      </c>
      <c r="K213" s="1">
        <v>0</v>
      </c>
      <c r="L213" s="1" t="s">
        <v>153</v>
      </c>
      <c r="M213" s="1" t="s">
        <v>154</v>
      </c>
      <c r="N213" s="1" t="s">
        <v>13</v>
      </c>
      <c r="O213" s="1" t="s">
        <v>155</v>
      </c>
    </row>
    <row r="214" spans="1:15" x14ac:dyDescent="0.4">
      <c r="A214" s="1" t="s">
        <v>5162</v>
      </c>
      <c r="B214" s="1" t="s">
        <v>5161</v>
      </c>
      <c r="C214" s="1" t="s">
        <v>5165</v>
      </c>
      <c r="D214" s="1" t="s">
        <v>5166</v>
      </c>
      <c r="E214" s="1" t="s">
        <v>8027</v>
      </c>
      <c r="F214" s="1" t="s">
        <v>17</v>
      </c>
      <c r="G214" s="4" t="str">
        <f>"07722-1698"</f>
        <v>07722-1698</v>
      </c>
      <c r="H214" s="1">
        <v>0</v>
      </c>
      <c r="I214" s="1">
        <v>0</v>
      </c>
      <c r="J214" s="1">
        <v>0</v>
      </c>
      <c r="K214" s="1">
        <v>0</v>
      </c>
      <c r="L214" s="1" t="s">
        <v>533</v>
      </c>
      <c r="M214" s="1" t="s">
        <v>5163</v>
      </c>
      <c r="N214" s="1" t="s">
        <v>13</v>
      </c>
      <c r="O214" s="1" t="s">
        <v>5164</v>
      </c>
    </row>
    <row r="215" spans="1:15" x14ac:dyDescent="0.4">
      <c r="A215" s="1" t="s">
        <v>3022</v>
      </c>
      <c r="B215" s="1" t="s">
        <v>3021</v>
      </c>
      <c r="C215" s="1" t="s">
        <v>3026</v>
      </c>
      <c r="D215" s="1" t="s">
        <v>3027</v>
      </c>
      <c r="E215" s="1" t="s">
        <v>8024</v>
      </c>
      <c r="F215" s="1" t="s">
        <v>17</v>
      </c>
      <c r="G215" s="4" t="str">
        <f>"07009"</f>
        <v>07009</v>
      </c>
      <c r="H215" s="1">
        <v>0</v>
      </c>
      <c r="I215" s="1">
        <v>0</v>
      </c>
      <c r="J215" s="1">
        <v>0</v>
      </c>
      <c r="K215" s="1">
        <v>0</v>
      </c>
      <c r="L215" s="1" t="s">
        <v>3023</v>
      </c>
      <c r="M215" s="1" t="s">
        <v>3024</v>
      </c>
      <c r="N215" s="1" t="s">
        <v>13</v>
      </c>
      <c r="O215" s="1" t="s">
        <v>3025</v>
      </c>
    </row>
    <row r="216" spans="1:15" x14ac:dyDescent="0.4">
      <c r="A216" s="1" t="s">
        <v>5897</v>
      </c>
      <c r="B216" s="1" t="s">
        <v>5896</v>
      </c>
      <c r="C216" s="1" t="s">
        <v>5900</v>
      </c>
      <c r="D216" s="1" t="s">
        <v>5901</v>
      </c>
      <c r="E216" s="1" t="s">
        <v>1503</v>
      </c>
      <c r="F216" s="1" t="s">
        <v>17</v>
      </c>
      <c r="G216" s="4" t="str">
        <f>"07082-1426"</f>
        <v>07082-1426</v>
      </c>
      <c r="H216" s="1">
        <v>0</v>
      </c>
      <c r="I216" s="1">
        <v>0</v>
      </c>
      <c r="J216" s="1">
        <v>0</v>
      </c>
      <c r="K216" s="1">
        <v>68</v>
      </c>
      <c r="L216" s="1" t="s">
        <v>158</v>
      </c>
      <c r="M216" s="1" t="s">
        <v>5898</v>
      </c>
      <c r="N216" s="1" t="s">
        <v>13</v>
      </c>
      <c r="O216" s="1" t="s">
        <v>5899</v>
      </c>
    </row>
    <row r="217" spans="1:15" x14ac:dyDescent="0.4">
      <c r="A217" s="1" t="s">
        <v>5897</v>
      </c>
      <c r="B217" s="1" t="s">
        <v>7043</v>
      </c>
      <c r="C217" s="1" t="s">
        <v>7046</v>
      </c>
      <c r="D217" s="1" t="s">
        <v>7047</v>
      </c>
      <c r="E217" s="1" t="s">
        <v>1503</v>
      </c>
      <c r="F217" s="1" t="s">
        <v>17</v>
      </c>
      <c r="G217" s="4" t="str">
        <f>"07920"</f>
        <v>07920</v>
      </c>
      <c r="H217" s="1">
        <v>0</v>
      </c>
      <c r="I217" s="1">
        <v>0</v>
      </c>
      <c r="J217" s="1">
        <v>0</v>
      </c>
      <c r="K217" s="1">
        <v>68</v>
      </c>
      <c r="L217" s="1" t="s">
        <v>6100</v>
      </c>
      <c r="M217" s="1" t="s">
        <v>7044</v>
      </c>
      <c r="N217" s="1" t="s">
        <v>13</v>
      </c>
      <c r="O217" s="1" t="s">
        <v>7045</v>
      </c>
    </row>
    <row r="218" spans="1:15" x14ac:dyDescent="0.4">
      <c r="A218" s="1" t="s">
        <v>7381</v>
      </c>
      <c r="B218" s="1" t="s">
        <v>7380</v>
      </c>
      <c r="C218" s="1" t="s">
        <v>7384</v>
      </c>
      <c r="D218" s="1" t="s">
        <v>7385</v>
      </c>
      <c r="E218" s="1" t="s">
        <v>8030</v>
      </c>
      <c r="F218" s="1" t="s">
        <v>17</v>
      </c>
      <c r="G218" s="4" t="str">
        <f>"07462-0420"</f>
        <v>07462-0420</v>
      </c>
      <c r="H218" s="1">
        <v>0</v>
      </c>
      <c r="I218" s="1">
        <v>0</v>
      </c>
      <c r="J218" s="1">
        <v>0</v>
      </c>
      <c r="K218" s="1">
        <v>200</v>
      </c>
      <c r="L218" s="1" t="s">
        <v>304</v>
      </c>
      <c r="M218" s="1" t="s">
        <v>7382</v>
      </c>
      <c r="N218" s="1" t="s">
        <v>13</v>
      </c>
      <c r="O218" s="1" t="s">
        <v>7383</v>
      </c>
    </row>
    <row r="219" spans="1:15" x14ac:dyDescent="0.4">
      <c r="A219" s="1" t="s">
        <v>7631</v>
      </c>
      <c r="B219" s="1" t="s">
        <v>7630</v>
      </c>
      <c r="C219" s="1" t="s">
        <v>7635</v>
      </c>
      <c r="D219" s="1" t="s">
        <v>2763</v>
      </c>
      <c r="E219" s="1" t="s">
        <v>7833</v>
      </c>
      <c r="F219" s="1" t="s">
        <v>17</v>
      </c>
      <c r="G219" s="4" t="str">
        <f>"07060-2801"</f>
        <v>07060-2801</v>
      </c>
      <c r="H219" s="1">
        <v>0</v>
      </c>
      <c r="I219" s="1">
        <v>0</v>
      </c>
      <c r="J219" s="1">
        <v>0</v>
      </c>
      <c r="K219" s="1">
        <v>84</v>
      </c>
      <c r="L219" s="1" t="s">
        <v>7632</v>
      </c>
      <c r="M219" s="1" t="s">
        <v>7633</v>
      </c>
      <c r="N219" s="1" t="s">
        <v>13</v>
      </c>
      <c r="O219" s="1" t="s">
        <v>7634</v>
      </c>
    </row>
    <row r="220" spans="1:15" x14ac:dyDescent="0.4">
      <c r="A220" s="1" t="s">
        <v>3392</v>
      </c>
      <c r="B220" s="1" t="s">
        <v>3391</v>
      </c>
      <c r="C220" s="1" t="s">
        <v>3394</v>
      </c>
      <c r="D220" s="1" t="s">
        <v>3395</v>
      </c>
      <c r="E220" s="1" t="s">
        <v>8024</v>
      </c>
      <c r="F220" s="1" t="s">
        <v>17</v>
      </c>
      <c r="G220" s="4" t="str">
        <f>"07050"</f>
        <v>07050</v>
      </c>
      <c r="H220" s="1">
        <v>0</v>
      </c>
      <c r="I220" s="1">
        <v>0</v>
      </c>
      <c r="J220" s="1">
        <v>0</v>
      </c>
      <c r="K220" s="1">
        <v>127</v>
      </c>
      <c r="L220" s="1" t="s">
        <v>1112</v>
      </c>
      <c r="M220" s="1" t="s">
        <v>109</v>
      </c>
      <c r="N220" s="1" t="s">
        <v>13</v>
      </c>
      <c r="O220" s="1" t="s">
        <v>3393</v>
      </c>
    </row>
    <row r="221" spans="1:15" x14ac:dyDescent="0.4">
      <c r="A221" s="1" t="s">
        <v>3392</v>
      </c>
      <c r="B221" s="1" t="s">
        <v>4545</v>
      </c>
      <c r="C221" s="1" t="s">
        <v>4549</v>
      </c>
      <c r="D221" s="1" t="s">
        <v>4546</v>
      </c>
      <c r="E221" s="1" t="s">
        <v>8024</v>
      </c>
      <c r="F221" s="1" t="s">
        <v>17</v>
      </c>
      <c r="G221" s="4" t="str">
        <f>"08816"</f>
        <v>08816</v>
      </c>
      <c r="H221" s="1">
        <v>0</v>
      </c>
      <c r="I221" s="1">
        <v>0</v>
      </c>
      <c r="J221" s="1">
        <v>0</v>
      </c>
      <c r="K221" s="1">
        <v>127</v>
      </c>
      <c r="L221" s="1" t="s">
        <v>158</v>
      </c>
      <c r="M221" s="1" t="s">
        <v>4547</v>
      </c>
      <c r="N221" s="1" t="s">
        <v>13</v>
      </c>
      <c r="O221" s="1" t="s">
        <v>4548</v>
      </c>
    </row>
    <row r="222" spans="1:15" x14ac:dyDescent="0.4">
      <c r="A222" s="1" t="s">
        <v>3392</v>
      </c>
      <c r="B222" s="1" t="s">
        <v>5672</v>
      </c>
      <c r="C222" s="1" t="s">
        <v>5680</v>
      </c>
      <c r="D222" s="1" t="s">
        <v>5549</v>
      </c>
      <c r="E222" s="1" t="s">
        <v>8024</v>
      </c>
      <c r="F222" s="1" t="s">
        <v>17</v>
      </c>
      <c r="G222" s="4" t="str">
        <f>"07719-1199"</f>
        <v>07719-1199</v>
      </c>
      <c r="H222" s="1">
        <v>0</v>
      </c>
      <c r="I222" s="1">
        <v>0</v>
      </c>
      <c r="J222" s="1">
        <v>0</v>
      </c>
      <c r="K222" s="1">
        <v>127</v>
      </c>
      <c r="L222" s="1" t="s">
        <v>5677</v>
      </c>
      <c r="M222" s="1" t="s">
        <v>5678</v>
      </c>
      <c r="N222" s="1" t="s">
        <v>13</v>
      </c>
      <c r="O222" s="1" t="s">
        <v>5679</v>
      </c>
    </row>
    <row r="223" spans="1:15" x14ac:dyDescent="0.4">
      <c r="A223" s="1" t="s">
        <v>3392</v>
      </c>
      <c r="B223" s="1" t="s">
        <v>5753</v>
      </c>
      <c r="C223" s="1" t="s">
        <v>5756</v>
      </c>
      <c r="D223" s="1" t="s">
        <v>5757</v>
      </c>
      <c r="E223" s="1" t="s">
        <v>8024</v>
      </c>
      <c r="F223" s="1" t="s">
        <v>17</v>
      </c>
      <c r="G223" s="4" t="str">
        <f>"07936-1492"</f>
        <v>07936-1492</v>
      </c>
      <c r="H223" s="1">
        <v>0</v>
      </c>
      <c r="I223" s="1">
        <v>0</v>
      </c>
      <c r="J223" s="1">
        <v>0</v>
      </c>
      <c r="K223" s="1">
        <v>127</v>
      </c>
      <c r="L223" s="1" t="s">
        <v>197</v>
      </c>
      <c r="M223" s="1" t="s">
        <v>5754</v>
      </c>
      <c r="N223" s="1" t="s">
        <v>13</v>
      </c>
      <c r="O223" s="1" t="s">
        <v>5755</v>
      </c>
    </row>
    <row r="224" spans="1:15" x14ac:dyDescent="0.4">
      <c r="A224" s="1" t="s">
        <v>3392</v>
      </c>
      <c r="B224" s="1" t="s">
        <v>7916</v>
      </c>
      <c r="C224" s="1" t="s">
        <v>7919</v>
      </c>
      <c r="D224" s="1" t="s">
        <v>7920</v>
      </c>
      <c r="E224" s="1" t="s">
        <v>8024</v>
      </c>
      <c r="F224" s="1" t="s">
        <v>17</v>
      </c>
      <c r="G224" s="4" t="str">
        <f>"07838"</f>
        <v>07838</v>
      </c>
      <c r="H224" s="1">
        <v>0</v>
      </c>
      <c r="I224" s="1">
        <v>0</v>
      </c>
      <c r="J224" s="1">
        <v>0</v>
      </c>
      <c r="K224" s="1">
        <v>127</v>
      </c>
      <c r="L224" s="1" t="s">
        <v>2003</v>
      </c>
      <c r="M224" s="1" t="s">
        <v>7917</v>
      </c>
      <c r="N224" s="1" t="s">
        <v>13</v>
      </c>
      <c r="O224" s="1" t="s">
        <v>7918</v>
      </c>
    </row>
    <row r="225" spans="1:15" x14ac:dyDescent="0.4">
      <c r="A225" s="1" t="s">
        <v>3275</v>
      </c>
      <c r="B225" s="1" t="s">
        <v>3249</v>
      </c>
      <c r="C225" s="1" t="s">
        <v>3278</v>
      </c>
      <c r="D225" s="1" t="s">
        <v>2526</v>
      </c>
      <c r="E225" s="1" t="s">
        <v>8024</v>
      </c>
      <c r="F225" s="1" t="s">
        <v>17</v>
      </c>
      <c r="G225" s="4" t="str">
        <f>"07103"</f>
        <v>07103</v>
      </c>
      <c r="H225" s="1">
        <v>0</v>
      </c>
      <c r="I225" s="1">
        <v>0</v>
      </c>
      <c r="J225" s="1">
        <v>0</v>
      </c>
      <c r="K225" s="1">
        <v>0</v>
      </c>
      <c r="L225" s="1" t="s">
        <v>3276</v>
      </c>
      <c r="M225" s="1" t="s">
        <v>1081</v>
      </c>
      <c r="N225" s="1" t="s">
        <v>13</v>
      </c>
      <c r="O225" s="1" t="s">
        <v>3277</v>
      </c>
    </row>
    <row r="226" spans="1:15" x14ac:dyDescent="0.4">
      <c r="A226" s="1" t="s">
        <v>2466</v>
      </c>
      <c r="B226" s="1" t="s">
        <v>2466</v>
      </c>
      <c r="C226" s="1" t="s">
        <v>2470</v>
      </c>
      <c r="D226" s="1" t="s">
        <v>2471</v>
      </c>
      <c r="E226" s="1" t="s">
        <v>8022</v>
      </c>
      <c r="F226" s="1" t="s">
        <v>17</v>
      </c>
      <c r="G226" s="4" t="str">
        <f>"08873-1235"</f>
        <v>08873-1235</v>
      </c>
      <c r="H226" s="1">
        <v>0</v>
      </c>
      <c r="I226" s="1">
        <v>0</v>
      </c>
      <c r="J226" s="1">
        <v>0</v>
      </c>
      <c r="K226" s="1">
        <v>63</v>
      </c>
      <c r="L226" s="1" t="s">
        <v>2467</v>
      </c>
      <c r="M226" s="1" t="s">
        <v>2468</v>
      </c>
      <c r="N226" s="1" t="s">
        <v>1924</v>
      </c>
      <c r="O226" s="1" t="s">
        <v>2469</v>
      </c>
    </row>
    <row r="227" spans="1:15" x14ac:dyDescent="0.4">
      <c r="A227" s="1" t="s">
        <v>5857</v>
      </c>
      <c r="B227" s="1" t="s">
        <v>5856</v>
      </c>
      <c r="C227" s="1" t="s">
        <v>5860</v>
      </c>
      <c r="D227" s="1" t="s">
        <v>5861</v>
      </c>
      <c r="E227" s="1" t="s">
        <v>1503</v>
      </c>
      <c r="F227" s="1" t="s">
        <v>17</v>
      </c>
      <c r="G227" s="4" t="str">
        <f>"07980"</f>
        <v>07980</v>
      </c>
      <c r="H227" s="1">
        <v>0</v>
      </c>
      <c r="I227" s="1">
        <v>0</v>
      </c>
      <c r="J227" s="1">
        <v>0</v>
      </c>
      <c r="K227" s="1">
        <v>0</v>
      </c>
      <c r="L227" s="1" t="s">
        <v>158</v>
      </c>
      <c r="M227" s="1" t="s">
        <v>5858</v>
      </c>
      <c r="N227" s="1" t="s">
        <v>13</v>
      </c>
      <c r="O227" s="1" t="s">
        <v>5859</v>
      </c>
    </row>
    <row r="228" spans="1:15" x14ac:dyDescent="0.4">
      <c r="A228" s="1" t="s">
        <v>5857</v>
      </c>
      <c r="B228" s="1" t="s">
        <v>6029</v>
      </c>
      <c r="C228" s="1" t="s">
        <v>6035</v>
      </c>
      <c r="D228" s="1" t="s">
        <v>6033</v>
      </c>
      <c r="E228" s="1" t="s">
        <v>1503</v>
      </c>
      <c r="F228" s="1" t="s">
        <v>17</v>
      </c>
      <c r="G228" s="4" t="str">
        <f>"07054"</f>
        <v>07054</v>
      </c>
      <c r="H228" s="1">
        <v>0</v>
      </c>
      <c r="I228" s="1">
        <v>0</v>
      </c>
      <c r="J228" s="1">
        <v>0</v>
      </c>
      <c r="K228" s="1">
        <v>0</v>
      </c>
      <c r="L228" s="1" t="s">
        <v>236</v>
      </c>
      <c r="M228" s="1" t="s">
        <v>2557</v>
      </c>
      <c r="N228" s="1" t="s">
        <v>13</v>
      </c>
      <c r="O228" s="1" t="s">
        <v>6034</v>
      </c>
    </row>
    <row r="229" spans="1:15" x14ac:dyDescent="0.4">
      <c r="A229" s="1" t="s">
        <v>6978</v>
      </c>
      <c r="B229" s="1" t="s">
        <v>6977</v>
      </c>
      <c r="C229" s="1" t="s">
        <v>6981</v>
      </c>
      <c r="D229" s="1" t="s">
        <v>6982</v>
      </c>
      <c r="E229" s="1" t="s">
        <v>8029</v>
      </c>
      <c r="F229" s="1" t="s">
        <v>17</v>
      </c>
      <c r="G229" s="4" t="str">
        <f>"08070-1531"</f>
        <v>08070-1531</v>
      </c>
      <c r="H229" s="1">
        <v>0</v>
      </c>
      <c r="I229" s="1">
        <v>0</v>
      </c>
      <c r="J229" s="1">
        <v>0</v>
      </c>
      <c r="K229" s="1">
        <v>5</v>
      </c>
      <c r="L229" s="1" t="s">
        <v>2032</v>
      </c>
      <c r="M229" s="1" t="s">
        <v>6979</v>
      </c>
      <c r="N229" s="1" t="s">
        <v>13</v>
      </c>
      <c r="O229" s="1" t="s">
        <v>6980</v>
      </c>
    </row>
    <row r="230" spans="1:15" x14ac:dyDescent="0.4">
      <c r="A230" s="1" t="s">
        <v>5767</v>
      </c>
      <c r="B230" s="1" t="s">
        <v>5766</v>
      </c>
      <c r="C230" s="1" t="s">
        <v>5769</v>
      </c>
      <c r="D230" s="1" t="s">
        <v>2789</v>
      </c>
      <c r="E230" s="1" t="s">
        <v>1503</v>
      </c>
      <c r="F230" s="1" t="s">
        <v>17</v>
      </c>
      <c r="G230" s="4" t="str">
        <f>"07960"</f>
        <v>07960</v>
      </c>
      <c r="H230" s="1">
        <v>0</v>
      </c>
      <c r="I230" s="1">
        <v>0</v>
      </c>
      <c r="J230" s="1">
        <v>0</v>
      </c>
      <c r="K230" s="1">
        <v>0</v>
      </c>
      <c r="L230" s="1" t="s">
        <v>1112</v>
      </c>
      <c r="M230" s="1" t="s">
        <v>1729</v>
      </c>
      <c r="N230" s="1" t="s">
        <v>13</v>
      </c>
      <c r="O230" s="1" t="s">
        <v>5768</v>
      </c>
    </row>
    <row r="231" spans="1:15" x14ac:dyDescent="0.4">
      <c r="A231" s="1" t="s">
        <v>6285</v>
      </c>
      <c r="B231" s="1" t="s">
        <v>6284</v>
      </c>
      <c r="C231" s="1" t="s">
        <v>6289</v>
      </c>
      <c r="D231" s="1" t="s">
        <v>6236</v>
      </c>
      <c r="E231" s="1" t="s">
        <v>8028</v>
      </c>
      <c r="F231" s="1" t="s">
        <v>17</v>
      </c>
      <c r="G231" s="4" t="str">
        <f>"08721"</f>
        <v>08721</v>
      </c>
      <c r="H231" s="1">
        <v>0</v>
      </c>
      <c r="I231" s="1">
        <v>0</v>
      </c>
      <c r="J231" s="1">
        <v>0</v>
      </c>
      <c r="K231" s="1">
        <v>0</v>
      </c>
      <c r="L231" s="1" t="s">
        <v>6286</v>
      </c>
      <c r="M231" s="1" t="s">
        <v>6287</v>
      </c>
      <c r="N231" s="1" t="s">
        <v>13</v>
      </c>
      <c r="O231" s="1" t="s">
        <v>6288</v>
      </c>
    </row>
    <row r="232" spans="1:15" x14ac:dyDescent="0.4">
      <c r="A232" s="1" t="s">
        <v>6290</v>
      </c>
      <c r="B232" s="1" t="s">
        <v>6284</v>
      </c>
      <c r="C232" s="1" t="s">
        <v>6289</v>
      </c>
      <c r="D232" s="1" t="s">
        <v>6236</v>
      </c>
      <c r="E232" s="1" t="s">
        <v>8028</v>
      </c>
      <c r="F232" s="1" t="s">
        <v>17</v>
      </c>
      <c r="G232" s="4" t="str">
        <f>"08721"</f>
        <v>08721</v>
      </c>
      <c r="H232" s="1">
        <v>0</v>
      </c>
      <c r="I232" s="1">
        <v>0</v>
      </c>
      <c r="J232" s="1">
        <v>0</v>
      </c>
      <c r="K232" s="1">
        <v>0</v>
      </c>
      <c r="L232" s="1" t="s">
        <v>62</v>
      </c>
      <c r="M232" s="1" t="s">
        <v>6291</v>
      </c>
      <c r="N232" s="1" t="s">
        <v>13</v>
      </c>
      <c r="O232" s="1" t="s">
        <v>6292</v>
      </c>
    </row>
    <row r="233" spans="1:15" x14ac:dyDescent="0.4">
      <c r="A233" s="1" t="s">
        <v>679</v>
      </c>
      <c r="B233" s="1" t="s">
        <v>673</v>
      </c>
      <c r="C233" s="1" t="s">
        <v>682</v>
      </c>
      <c r="D233" s="1" t="s">
        <v>678</v>
      </c>
      <c r="E233" s="1" t="s">
        <v>8018</v>
      </c>
      <c r="F233" s="1" t="s">
        <v>17</v>
      </c>
      <c r="G233" s="4" t="str">
        <f>"07452-1821"</f>
        <v>07452-1821</v>
      </c>
      <c r="H233" s="1">
        <v>5</v>
      </c>
      <c r="I233" s="1">
        <v>1.7</v>
      </c>
      <c r="J233" s="1">
        <v>0</v>
      </c>
      <c r="K233" s="1">
        <v>38</v>
      </c>
      <c r="L233" s="1" t="s">
        <v>290</v>
      </c>
      <c r="M233" s="1" t="s">
        <v>680</v>
      </c>
      <c r="N233" s="1" t="s">
        <v>13</v>
      </c>
      <c r="O233" s="1" t="s">
        <v>681</v>
      </c>
    </row>
    <row r="234" spans="1:15" x14ac:dyDescent="0.4">
      <c r="A234" s="1" t="s">
        <v>679</v>
      </c>
      <c r="B234" s="1" t="s">
        <v>2127</v>
      </c>
      <c r="C234" s="1" t="s">
        <v>2130</v>
      </c>
      <c r="D234" s="1" t="s">
        <v>1831</v>
      </c>
      <c r="E234" s="1" t="s">
        <v>8018</v>
      </c>
      <c r="F234" s="1" t="s">
        <v>17</v>
      </c>
      <c r="G234" s="4" t="str">
        <f>"08033"</f>
        <v>08033</v>
      </c>
      <c r="H234" s="1">
        <v>5</v>
      </c>
      <c r="I234" s="1">
        <v>1.7</v>
      </c>
      <c r="J234" s="1">
        <v>0</v>
      </c>
      <c r="K234" s="1">
        <v>38</v>
      </c>
      <c r="L234" s="1" t="s">
        <v>1519</v>
      </c>
      <c r="M234" s="1" t="s">
        <v>2128</v>
      </c>
      <c r="N234" s="1" t="s">
        <v>13</v>
      </c>
      <c r="O234" s="1" t="s">
        <v>2129</v>
      </c>
    </row>
    <row r="235" spans="1:15" x14ac:dyDescent="0.4">
      <c r="A235" s="1" t="s">
        <v>679</v>
      </c>
      <c r="B235" s="1" t="s">
        <v>3096</v>
      </c>
      <c r="C235" s="1" t="s">
        <v>3099</v>
      </c>
      <c r="D235" s="1" t="s">
        <v>3100</v>
      </c>
      <c r="E235" s="1" t="s">
        <v>8018</v>
      </c>
      <c r="F235" s="1" t="s">
        <v>17</v>
      </c>
      <c r="G235" s="4" t="str">
        <f>"07028"</f>
        <v>07028</v>
      </c>
      <c r="H235" s="1">
        <v>5</v>
      </c>
      <c r="I235" s="1">
        <v>1.7</v>
      </c>
      <c r="J235" s="1">
        <v>0</v>
      </c>
      <c r="K235" s="1">
        <v>38</v>
      </c>
      <c r="L235" s="1" t="s">
        <v>3097</v>
      </c>
      <c r="M235" s="1" t="s">
        <v>1952</v>
      </c>
      <c r="N235" s="1" t="s">
        <v>13</v>
      </c>
      <c r="O235" s="1" t="s">
        <v>3098</v>
      </c>
    </row>
    <row r="236" spans="1:15" x14ac:dyDescent="0.4">
      <c r="A236" s="1" t="s">
        <v>679</v>
      </c>
      <c r="B236" s="1" t="s">
        <v>7261</v>
      </c>
      <c r="C236" s="1" t="s">
        <v>7267</v>
      </c>
      <c r="D236" s="1" t="s">
        <v>55</v>
      </c>
      <c r="E236" s="1" t="s">
        <v>8018</v>
      </c>
      <c r="F236" s="1" t="s">
        <v>17</v>
      </c>
      <c r="G236" s="4" t="str">
        <f>"07059"</f>
        <v>07059</v>
      </c>
      <c r="H236" s="1">
        <v>5</v>
      </c>
      <c r="I236" s="1">
        <v>1.7</v>
      </c>
      <c r="J236" s="1">
        <v>0</v>
      </c>
      <c r="K236" s="1">
        <v>38</v>
      </c>
      <c r="L236" s="1" t="s">
        <v>2003</v>
      </c>
      <c r="M236" s="1" t="s">
        <v>7265</v>
      </c>
      <c r="N236" s="1" t="s">
        <v>13</v>
      </c>
      <c r="O236" s="1" t="s">
        <v>7266</v>
      </c>
    </row>
    <row r="237" spans="1:15" x14ac:dyDescent="0.4">
      <c r="A237" s="1" t="s">
        <v>3672</v>
      </c>
      <c r="B237" s="1" t="s">
        <v>3671</v>
      </c>
      <c r="C237" s="1" t="s">
        <v>3674</v>
      </c>
      <c r="D237" s="1" t="s">
        <v>3675</v>
      </c>
      <c r="E237" s="1" t="s">
        <v>8020</v>
      </c>
      <c r="F237" s="1" t="s">
        <v>17</v>
      </c>
      <c r="G237" s="4" t="str">
        <f>"08051"</f>
        <v>08051</v>
      </c>
      <c r="H237" s="1">
        <v>0</v>
      </c>
      <c r="I237" s="1">
        <v>0</v>
      </c>
      <c r="J237" s="1">
        <v>0</v>
      </c>
      <c r="K237" s="1">
        <v>0</v>
      </c>
      <c r="L237" s="1" t="s">
        <v>38</v>
      </c>
      <c r="M237" s="1" t="s">
        <v>72</v>
      </c>
      <c r="N237" s="1" t="s">
        <v>13</v>
      </c>
      <c r="O237" s="1" t="s">
        <v>3673</v>
      </c>
    </row>
    <row r="238" spans="1:15" x14ac:dyDescent="0.4">
      <c r="A238" s="1" t="s">
        <v>3119</v>
      </c>
      <c r="B238" s="1" t="s">
        <v>3117</v>
      </c>
      <c r="C238" s="1" t="s">
        <v>3121</v>
      </c>
      <c r="D238" s="1" t="s">
        <v>2465</v>
      </c>
      <c r="E238" s="1" t="s">
        <v>8024</v>
      </c>
      <c r="F238" s="1" t="s">
        <v>17</v>
      </c>
      <c r="G238" s="4" t="str">
        <f>"07111"</f>
        <v>07111</v>
      </c>
      <c r="H238" s="1">
        <v>0</v>
      </c>
      <c r="I238" s="1">
        <v>0</v>
      </c>
      <c r="J238" s="1">
        <v>0</v>
      </c>
      <c r="K238" s="1">
        <v>71</v>
      </c>
      <c r="L238" s="1" t="s">
        <v>329</v>
      </c>
      <c r="M238" s="1" t="s">
        <v>2546</v>
      </c>
      <c r="N238" s="1" t="s">
        <v>13</v>
      </c>
      <c r="O238" s="1" t="s">
        <v>3120</v>
      </c>
    </row>
    <row r="239" spans="1:15" x14ac:dyDescent="0.4">
      <c r="A239" s="1" t="s">
        <v>7640</v>
      </c>
      <c r="B239" s="1" t="s">
        <v>7630</v>
      </c>
      <c r="C239" s="1" t="s">
        <v>7643</v>
      </c>
      <c r="D239" s="1" t="s">
        <v>2763</v>
      </c>
      <c r="E239" s="1" t="s">
        <v>7833</v>
      </c>
      <c r="F239" s="1" t="s">
        <v>17</v>
      </c>
      <c r="G239" s="4" t="str">
        <f>"07062"</f>
        <v>07062</v>
      </c>
      <c r="H239" s="1">
        <v>0</v>
      </c>
      <c r="I239" s="1">
        <v>0</v>
      </c>
      <c r="J239" s="1">
        <v>0</v>
      </c>
      <c r="K239" s="1">
        <v>158</v>
      </c>
      <c r="L239" s="1" t="s">
        <v>7641</v>
      </c>
      <c r="M239" s="1" t="s">
        <v>7509</v>
      </c>
      <c r="N239" s="1" t="s">
        <v>13</v>
      </c>
      <c r="O239" s="1" t="s">
        <v>7642</v>
      </c>
    </row>
    <row r="240" spans="1:15" x14ac:dyDescent="0.4">
      <c r="A240" s="1" t="s">
        <v>933</v>
      </c>
      <c r="B240" s="1" t="s">
        <v>932</v>
      </c>
      <c r="C240" s="1" t="s">
        <v>936</v>
      </c>
      <c r="D240" s="1" t="s">
        <v>937</v>
      </c>
      <c r="E240" s="1" t="s">
        <v>8018</v>
      </c>
      <c r="F240" s="1" t="s">
        <v>17</v>
      </c>
      <c r="G240" s="4" t="str">
        <f>"07675-7047"</f>
        <v>07675-7047</v>
      </c>
      <c r="H240" s="1">
        <v>0</v>
      </c>
      <c r="I240" s="1">
        <v>0</v>
      </c>
      <c r="J240" s="1">
        <v>0</v>
      </c>
      <c r="K240" s="1">
        <v>0</v>
      </c>
      <c r="L240" s="1" t="s">
        <v>38</v>
      </c>
      <c r="M240" s="1" t="s">
        <v>934</v>
      </c>
      <c r="N240" s="1" t="s">
        <v>13</v>
      </c>
      <c r="O240" s="1" t="s">
        <v>935</v>
      </c>
    </row>
    <row r="241" spans="1:15" x14ac:dyDescent="0.4">
      <c r="A241" s="1" t="s">
        <v>3214</v>
      </c>
      <c r="B241" s="1" t="s">
        <v>3202</v>
      </c>
      <c r="C241" s="1" t="s">
        <v>3218</v>
      </c>
      <c r="D241" s="1" t="s">
        <v>3219</v>
      </c>
      <c r="E241" s="1" t="s">
        <v>8024</v>
      </c>
      <c r="F241" s="1" t="s">
        <v>17</v>
      </c>
      <c r="G241" s="4" t="str">
        <f>"07042"</f>
        <v>07042</v>
      </c>
      <c r="H241" s="1">
        <v>0</v>
      </c>
      <c r="I241" s="1">
        <v>0</v>
      </c>
      <c r="J241" s="1">
        <v>1</v>
      </c>
      <c r="K241" s="1">
        <v>75</v>
      </c>
      <c r="L241" s="1" t="s">
        <v>3215</v>
      </c>
      <c r="M241" s="1" t="s">
        <v>3216</v>
      </c>
      <c r="N241" s="1" t="s">
        <v>13</v>
      </c>
      <c r="O241" s="1" t="s">
        <v>3217</v>
      </c>
    </row>
    <row r="242" spans="1:15" x14ac:dyDescent="0.4">
      <c r="A242" s="1" t="s">
        <v>7636</v>
      </c>
      <c r="B242" s="1" t="s">
        <v>7630</v>
      </c>
      <c r="C242" s="1" t="s">
        <v>7639</v>
      </c>
      <c r="D242" s="1" t="s">
        <v>2763</v>
      </c>
      <c r="E242" s="1" t="s">
        <v>7833</v>
      </c>
      <c r="F242" s="1" t="s">
        <v>17</v>
      </c>
      <c r="G242" s="4" t="str">
        <f>"07062-4235"</f>
        <v>07062-4235</v>
      </c>
      <c r="H242" s="1">
        <v>0</v>
      </c>
      <c r="I242" s="1">
        <v>0</v>
      </c>
      <c r="J242" s="1">
        <v>0</v>
      </c>
      <c r="K242" s="1">
        <v>44</v>
      </c>
      <c r="L242" s="1" t="s">
        <v>1167</v>
      </c>
      <c r="M242" s="1" t="s">
        <v>7637</v>
      </c>
      <c r="N242" s="1" t="s">
        <v>13</v>
      </c>
      <c r="O242" s="1" t="s">
        <v>7638</v>
      </c>
    </row>
    <row r="243" spans="1:15" x14ac:dyDescent="0.4">
      <c r="A243" s="1" t="s">
        <v>1655</v>
      </c>
      <c r="B243" s="1" t="s">
        <v>1654</v>
      </c>
      <c r="C243" s="1" t="s">
        <v>1658</v>
      </c>
      <c r="D243" s="1" t="s">
        <v>1659</v>
      </c>
      <c r="E243" s="1" t="s">
        <v>8019</v>
      </c>
      <c r="F243" s="1" t="s">
        <v>17</v>
      </c>
      <c r="G243" s="4" t="str">
        <f>"08065"</f>
        <v>08065</v>
      </c>
      <c r="H243" s="1">
        <v>0</v>
      </c>
      <c r="I243" s="1">
        <v>0</v>
      </c>
      <c r="J243" s="1">
        <v>0</v>
      </c>
      <c r="K243" s="1">
        <v>65</v>
      </c>
      <c r="L243" s="1" t="s">
        <v>1656</v>
      </c>
      <c r="M243" s="1" t="s">
        <v>494</v>
      </c>
      <c r="N243" s="1" t="s">
        <v>13</v>
      </c>
      <c r="O243" s="1" t="s">
        <v>1657</v>
      </c>
    </row>
    <row r="244" spans="1:15" x14ac:dyDescent="0.4">
      <c r="A244" s="1" t="s">
        <v>2054</v>
      </c>
      <c r="B244" s="1" t="s">
        <v>2047</v>
      </c>
      <c r="C244" s="1" t="s">
        <v>2058</v>
      </c>
      <c r="D244" s="1" t="s">
        <v>1861</v>
      </c>
      <c r="E244" s="1" t="s">
        <v>1909</v>
      </c>
      <c r="F244" s="1" t="s">
        <v>17</v>
      </c>
      <c r="G244" s="4" t="str">
        <f>"08012"</f>
        <v>08012</v>
      </c>
      <c r="H244" s="1">
        <v>0</v>
      </c>
      <c r="I244" s="1">
        <v>0</v>
      </c>
      <c r="J244" s="1">
        <v>0</v>
      </c>
      <c r="K244" s="1">
        <v>0</v>
      </c>
      <c r="L244" s="1" t="s">
        <v>2055</v>
      </c>
      <c r="M244" s="1" t="s">
        <v>2056</v>
      </c>
      <c r="N244" s="1" t="s">
        <v>13</v>
      </c>
      <c r="O244" s="1" t="s">
        <v>2057</v>
      </c>
    </row>
    <row r="245" spans="1:15" x14ac:dyDescent="0.4">
      <c r="A245" s="1" t="s">
        <v>2472</v>
      </c>
      <c r="B245" s="1" t="s">
        <v>2472</v>
      </c>
      <c r="C245" s="1" t="s">
        <v>2475</v>
      </c>
      <c r="D245" s="1" t="s">
        <v>2476</v>
      </c>
      <c r="E245" s="1" t="s">
        <v>8022</v>
      </c>
      <c r="F245" s="1" t="s">
        <v>17</v>
      </c>
      <c r="G245" s="4" t="str">
        <f>"08244"</f>
        <v>08244</v>
      </c>
      <c r="H245" s="1">
        <v>0</v>
      </c>
      <c r="I245" s="1">
        <v>0</v>
      </c>
      <c r="J245" s="1">
        <v>0</v>
      </c>
      <c r="K245" s="1">
        <v>0</v>
      </c>
      <c r="L245" s="1" t="s">
        <v>50</v>
      </c>
      <c r="M245" s="1" t="s">
        <v>2473</v>
      </c>
      <c r="N245" s="1" t="s">
        <v>1924</v>
      </c>
      <c r="O245" s="1" t="s">
        <v>2474</v>
      </c>
    </row>
    <row r="246" spans="1:15" x14ac:dyDescent="0.4">
      <c r="A246" s="1" t="s">
        <v>6158</v>
      </c>
      <c r="B246" s="1" t="s">
        <v>6157</v>
      </c>
      <c r="C246" s="1" t="s">
        <v>6160</v>
      </c>
      <c r="D246" s="1" t="s">
        <v>6161</v>
      </c>
      <c r="E246" s="1" t="s">
        <v>1503</v>
      </c>
      <c r="F246" s="1" t="s">
        <v>17</v>
      </c>
      <c r="G246" s="4" t="str">
        <f>"07928"</f>
        <v>07928</v>
      </c>
      <c r="H246" s="1">
        <v>0</v>
      </c>
      <c r="I246" s="1">
        <v>0</v>
      </c>
      <c r="J246" s="1">
        <v>0</v>
      </c>
      <c r="K246" s="1">
        <v>0</v>
      </c>
      <c r="L246" s="1" t="s">
        <v>1843</v>
      </c>
      <c r="M246" s="1" t="s">
        <v>853</v>
      </c>
      <c r="N246" s="1" t="s">
        <v>13</v>
      </c>
      <c r="O246" s="1" t="s">
        <v>6159</v>
      </c>
    </row>
    <row r="247" spans="1:15" x14ac:dyDescent="0.4">
      <c r="A247" s="1" t="s">
        <v>6163</v>
      </c>
      <c r="B247" s="1" t="s">
        <v>6157</v>
      </c>
      <c r="C247" s="1" t="s">
        <v>4162</v>
      </c>
      <c r="D247" s="1" t="s">
        <v>6161</v>
      </c>
      <c r="E247" s="1" t="s">
        <v>1503</v>
      </c>
      <c r="F247" s="1" t="s">
        <v>17</v>
      </c>
      <c r="G247" s="4" t="str">
        <f>"07928-2120"</f>
        <v>07928-2120</v>
      </c>
      <c r="H247" s="1">
        <v>0</v>
      </c>
      <c r="I247" s="1">
        <v>0</v>
      </c>
      <c r="J247" s="1">
        <v>0</v>
      </c>
      <c r="K247" s="1">
        <v>0</v>
      </c>
      <c r="L247" s="1" t="s">
        <v>267</v>
      </c>
      <c r="M247" s="1" t="s">
        <v>6164</v>
      </c>
      <c r="N247" s="1" t="s">
        <v>13</v>
      </c>
      <c r="O247" s="1" t="s">
        <v>6165</v>
      </c>
    </row>
    <row r="248" spans="1:15" x14ac:dyDescent="0.4">
      <c r="A248" s="1" t="s">
        <v>1804</v>
      </c>
      <c r="B248" s="1" t="s">
        <v>1803</v>
      </c>
      <c r="C248" s="1" t="s">
        <v>1807</v>
      </c>
      <c r="D248" s="1" t="s">
        <v>1808</v>
      </c>
      <c r="E248" s="1" t="s">
        <v>8019</v>
      </c>
      <c r="F248" s="1" t="s">
        <v>17</v>
      </c>
      <c r="G248" s="4" t="str">
        <f>"08019-0477"</f>
        <v>08019-0477</v>
      </c>
      <c r="H248" s="1">
        <v>1</v>
      </c>
      <c r="I248" s="1">
        <v>1.1000000000000001</v>
      </c>
      <c r="J248" s="1">
        <v>0</v>
      </c>
      <c r="K248" s="1">
        <v>18</v>
      </c>
      <c r="L248" s="1" t="s">
        <v>169</v>
      </c>
      <c r="M248" s="1" t="s">
        <v>1805</v>
      </c>
      <c r="N248" s="1" t="s">
        <v>129</v>
      </c>
      <c r="O248" s="1" t="s">
        <v>1806</v>
      </c>
    </row>
    <row r="249" spans="1:15" x14ac:dyDescent="0.4">
      <c r="A249" s="1" t="s">
        <v>33</v>
      </c>
      <c r="B249" s="1" t="s">
        <v>21</v>
      </c>
      <c r="C249" s="1" t="s">
        <v>37</v>
      </c>
      <c r="D249" s="1" t="s">
        <v>27</v>
      </c>
      <c r="E249" s="1" t="s">
        <v>8017</v>
      </c>
      <c r="F249" s="1" t="s">
        <v>17</v>
      </c>
      <c r="G249" s="4" t="str">
        <f>"08401-1023"</f>
        <v>08401-1023</v>
      </c>
      <c r="H249" s="1">
        <v>0</v>
      </c>
      <c r="I249" s="1">
        <v>0</v>
      </c>
      <c r="J249" s="1">
        <v>0</v>
      </c>
      <c r="K249" s="1">
        <v>26</v>
      </c>
      <c r="L249" s="1" t="s">
        <v>34</v>
      </c>
      <c r="M249" s="1" t="s">
        <v>35</v>
      </c>
      <c r="N249" s="1" t="s">
        <v>13</v>
      </c>
      <c r="O249" s="1" t="s">
        <v>36</v>
      </c>
    </row>
    <row r="250" spans="1:15" x14ac:dyDescent="0.4">
      <c r="A250" s="1" t="s">
        <v>1515</v>
      </c>
      <c r="B250" s="1" t="s">
        <v>1514</v>
      </c>
      <c r="C250" s="1" t="s">
        <v>1518</v>
      </c>
      <c r="D250" s="1" t="s">
        <v>1480</v>
      </c>
      <c r="E250" s="1" t="s">
        <v>8019</v>
      </c>
      <c r="F250" s="1" t="s">
        <v>17</v>
      </c>
      <c r="G250" s="4" t="str">
        <f>"08053"</f>
        <v>08053</v>
      </c>
      <c r="H250" s="1">
        <v>0</v>
      </c>
      <c r="I250" s="1">
        <v>0</v>
      </c>
      <c r="J250" s="1">
        <v>0</v>
      </c>
      <c r="K250" s="1">
        <v>0</v>
      </c>
      <c r="L250" s="1" t="s">
        <v>224</v>
      </c>
      <c r="M250" s="1" t="s">
        <v>1516</v>
      </c>
      <c r="N250" s="1" t="s">
        <v>13</v>
      </c>
      <c r="O250" s="1" t="s">
        <v>1517</v>
      </c>
    </row>
    <row r="251" spans="1:15" x14ac:dyDescent="0.4">
      <c r="A251" s="1" t="s">
        <v>1940</v>
      </c>
      <c r="B251" s="1" t="s">
        <v>1927</v>
      </c>
      <c r="C251" s="1" t="s">
        <v>1943</v>
      </c>
      <c r="D251" s="1" t="s">
        <v>1933</v>
      </c>
      <c r="E251" s="1" t="s">
        <v>1909</v>
      </c>
      <c r="F251" s="1" t="s">
        <v>17</v>
      </c>
      <c r="G251" s="4" t="str">
        <f>"08003-2598"</f>
        <v>08003-2598</v>
      </c>
      <c r="H251" s="1">
        <v>0</v>
      </c>
      <c r="I251" s="1">
        <v>0</v>
      </c>
      <c r="J251" s="1">
        <v>0</v>
      </c>
      <c r="K251" s="1">
        <v>0</v>
      </c>
      <c r="L251" s="1" t="s">
        <v>146</v>
      </c>
      <c r="M251" s="1" t="s">
        <v>1941</v>
      </c>
      <c r="N251" s="1" t="s">
        <v>13</v>
      </c>
      <c r="O251" s="1" t="s">
        <v>1942</v>
      </c>
    </row>
    <row r="252" spans="1:15" x14ac:dyDescent="0.4">
      <c r="A252" s="1" t="s">
        <v>1944</v>
      </c>
      <c r="B252" s="1" t="s">
        <v>1927</v>
      </c>
      <c r="C252" s="1" t="s">
        <v>1946</v>
      </c>
      <c r="D252" s="1" t="s">
        <v>1933</v>
      </c>
      <c r="E252" s="1" t="s">
        <v>1909</v>
      </c>
      <c r="F252" s="1" t="s">
        <v>17</v>
      </c>
      <c r="G252" s="4" t="str">
        <f>"08034-2099"</f>
        <v>08034-2099</v>
      </c>
      <c r="H252" s="1">
        <v>0</v>
      </c>
      <c r="I252" s="1">
        <v>0</v>
      </c>
      <c r="J252" s="1">
        <v>0</v>
      </c>
      <c r="K252" s="1">
        <v>0</v>
      </c>
      <c r="L252" s="1" t="s">
        <v>434</v>
      </c>
      <c r="M252" s="1" t="s">
        <v>12</v>
      </c>
      <c r="N252" s="1" t="s">
        <v>13</v>
      </c>
      <c r="O252" s="1" t="s">
        <v>1945</v>
      </c>
    </row>
    <row r="253" spans="1:15" x14ac:dyDescent="0.4">
      <c r="A253" s="1" t="s">
        <v>1111</v>
      </c>
      <c r="B253" s="1" t="s">
        <v>1110</v>
      </c>
      <c r="C253" s="1" t="s">
        <v>1115</v>
      </c>
      <c r="D253" s="1" t="s">
        <v>1116</v>
      </c>
      <c r="E253" s="1" t="s">
        <v>8018</v>
      </c>
      <c r="F253" s="1" t="s">
        <v>17</v>
      </c>
      <c r="G253" s="4" t="str">
        <f>"07661-1813"</f>
        <v>07661-1813</v>
      </c>
      <c r="H253" s="1">
        <v>0</v>
      </c>
      <c r="I253" s="1">
        <v>0</v>
      </c>
      <c r="J253" s="1">
        <v>0</v>
      </c>
      <c r="K253" s="1">
        <v>74</v>
      </c>
      <c r="L253" s="1" t="s">
        <v>1112</v>
      </c>
      <c r="M253" s="1" t="s">
        <v>1113</v>
      </c>
      <c r="N253" s="1" t="s">
        <v>13</v>
      </c>
      <c r="O253" s="1" t="s">
        <v>1114</v>
      </c>
    </row>
    <row r="254" spans="1:15" x14ac:dyDescent="0.4">
      <c r="A254" s="1" t="s">
        <v>2813</v>
      </c>
      <c r="B254" s="1" t="s">
        <v>2797</v>
      </c>
      <c r="C254" s="1" t="s">
        <v>2815</v>
      </c>
      <c r="D254" s="1" t="s">
        <v>2802</v>
      </c>
      <c r="E254" s="1" t="s">
        <v>8023</v>
      </c>
      <c r="F254" s="1" t="s">
        <v>17</v>
      </c>
      <c r="G254" s="4" t="str">
        <f>"08302"</f>
        <v>08302</v>
      </c>
      <c r="H254" s="1">
        <v>0</v>
      </c>
      <c r="I254" s="1">
        <v>0</v>
      </c>
      <c r="J254" s="1">
        <v>0</v>
      </c>
      <c r="K254" s="1">
        <v>54</v>
      </c>
      <c r="L254" s="1" t="s">
        <v>1192</v>
      </c>
      <c r="M254" s="1" t="s">
        <v>893</v>
      </c>
      <c r="N254" s="1" t="s">
        <v>13</v>
      </c>
      <c r="O254" s="1" t="s">
        <v>2814</v>
      </c>
    </row>
    <row r="255" spans="1:15" x14ac:dyDescent="0.4">
      <c r="A255" s="1" t="s">
        <v>5992</v>
      </c>
      <c r="B255" s="1" t="s">
        <v>5991</v>
      </c>
      <c r="C255" s="1" t="s">
        <v>5995</v>
      </c>
      <c r="D255" s="1" t="s">
        <v>5996</v>
      </c>
      <c r="E255" s="1" t="s">
        <v>1503</v>
      </c>
      <c r="F255" s="1" t="s">
        <v>17</v>
      </c>
      <c r="G255" s="4" t="str">
        <f>"07828"</f>
        <v>07828</v>
      </c>
      <c r="H255" s="1">
        <v>0</v>
      </c>
      <c r="I255" s="1">
        <v>0</v>
      </c>
      <c r="J255" s="1">
        <v>0</v>
      </c>
      <c r="K255" s="1">
        <v>96</v>
      </c>
      <c r="L255" s="1" t="s">
        <v>43</v>
      </c>
      <c r="M255" s="1" t="s">
        <v>5993</v>
      </c>
      <c r="N255" s="1" t="s">
        <v>13</v>
      </c>
      <c r="O255" s="1" t="s">
        <v>5994</v>
      </c>
    </row>
    <row r="256" spans="1:15" x14ac:dyDescent="0.4">
      <c r="A256" s="1" t="s">
        <v>1418</v>
      </c>
      <c r="B256" s="1" t="s">
        <v>1417</v>
      </c>
      <c r="C256" s="1" t="s">
        <v>1422</v>
      </c>
      <c r="D256" s="1" t="s">
        <v>1423</v>
      </c>
      <c r="E256" s="1" t="s">
        <v>8019</v>
      </c>
      <c r="F256" s="1" t="s">
        <v>17</v>
      </c>
      <c r="G256" s="4" t="str">
        <f>"08515"</f>
        <v>08515</v>
      </c>
      <c r="H256" s="1">
        <v>3</v>
      </c>
      <c r="I256" s="1">
        <v>0.4</v>
      </c>
      <c r="J256" s="1">
        <v>0</v>
      </c>
      <c r="K256" s="1">
        <v>81</v>
      </c>
      <c r="L256" s="1" t="s">
        <v>1419</v>
      </c>
      <c r="M256" s="1" t="s">
        <v>1420</v>
      </c>
      <c r="N256" s="1" t="s">
        <v>13</v>
      </c>
      <c r="O256" s="1" t="s">
        <v>1421</v>
      </c>
    </row>
    <row r="257" spans="1:15" x14ac:dyDescent="0.4">
      <c r="A257" s="1" t="s">
        <v>3755</v>
      </c>
      <c r="B257" s="1" t="s">
        <v>3741</v>
      </c>
      <c r="C257" s="1" t="s">
        <v>3758</v>
      </c>
      <c r="D257" s="1" t="s">
        <v>3580</v>
      </c>
      <c r="E257" s="1" t="s">
        <v>8020</v>
      </c>
      <c r="F257" s="1" t="s">
        <v>17</v>
      </c>
      <c r="G257" s="4" t="str">
        <f>"08080"</f>
        <v>08080</v>
      </c>
      <c r="H257" s="1">
        <v>0</v>
      </c>
      <c r="I257" s="1">
        <v>0</v>
      </c>
      <c r="J257" s="1">
        <v>0</v>
      </c>
      <c r="K257" s="1">
        <v>0</v>
      </c>
      <c r="L257" s="1" t="s">
        <v>1770</v>
      </c>
      <c r="M257" s="1" t="s">
        <v>3756</v>
      </c>
      <c r="N257" s="1" t="s">
        <v>13</v>
      </c>
      <c r="O257" s="1" t="s">
        <v>3757</v>
      </c>
    </row>
    <row r="258" spans="1:15" x14ac:dyDescent="0.4">
      <c r="A258" s="1" t="s">
        <v>6298</v>
      </c>
      <c r="B258" s="1" t="s">
        <v>6293</v>
      </c>
      <c r="C258" s="1" t="s">
        <v>6301</v>
      </c>
      <c r="D258" s="1" t="s">
        <v>1326</v>
      </c>
      <c r="E258" s="1" t="s">
        <v>8028</v>
      </c>
      <c r="F258" s="1" t="s">
        <v>17</v>
      </c>
      <c r="G258" s="4" t="str">
        <f>"08527-3497"</f>
        <v>08527-3497</v>
      </c>
      <c r="H258" s="1">
        <v>0</v>
      </c>
      <c r="I258" s="1">
        <v>0</v>
      </c>
      <c r="J258" s="1">
        <v>0</v>
      </c>
      <c r="K258" s="1">
        <v>0</v>
      </c>
      <c r="L258" s="1" t="s">
        <v>189</v>
      </c>
      <c r="M258" s="1" t="s">
        <v>6299</v>
      </c>
      <c r="N258" s="1" t="s">
        <v>13</v>
      </c>
      <c r="O258" s="1" t="s">
        <v>6300</v>
      </c>
    </row>
    <row r="259" spans="1:15" x14ac:dyDescent="0.4">
      <c r="A259" s="1" t="s">
        <v>6537</v>
      </c>
      <c r="B259" s="1" t="s">
        <v>6536</v>
      </c>
      <c r="C259" s="1" t="s">
        <v>6540</v>
      </c>
      <c r="D259" s="1" t="s">
        <v>2481</v>
      </c>
      <c r="E259" s="1" t="s">
        <v>2670</v>
      </c>
      <c r="F259" s="1" t="s">
        <v>17</v>
      </c>
      <c r="G259" s="4" t="str">
        <f>"07011"</f>
        <v>07011</v>
      </c>
      <c r="H259" s="1">
        <v>0</v>
      </c>
      <c r="I259" s="1">
        <v>0</v>
      </c>
      <c r="J259" s="1">
        <v>0</v>
      </c>
      <c r="K259" s="1">
        <v>0</v>
      </c>
      <c r="L259" s="1" t="s">
        <v>1713</v>
      </c>
      <c r="M259" s="1" t="s">
        <v>6538</v>
      </c>
      <c r="N259" s="1" t="s">
        <v>13</v>
      </c>
      <c r="O259" s="1" t="s">
        <v>6539</v>
      </c>
    </row>
    <row r="260" spans="1:15" x14ac:dyDescent="0.4">
      <c r="A260" s="1" t="s">
        <v>7494</v>
      </c>
      <c r="B260" s="1" t="s">
        <v>7477</v>
      </c>
      <c r="C260" s="1" t="s">
        <v>7496</v>
      </c>
      <c r="D260" s="1" t="s">
        <v>3890</v>
      </c>
      <c r="E260" s="1" t="s">
        <v>7833</v>
      </c>
      <c r="F260" s="1" t="s">
        <v>17</v>
      </c>
      <c r="G260" s="4" t="str">
        <f>"07202-3907"</f>
        <v>07202-3907</v>
      </c>
      <c r="H260" s="1">
        <v>0</v>
      </c>
      <c r="I260" s="1">
        <v>0</v>
      </c>
      <c r="J260" s="1">
        <v>0</v>
      </c>
      <c r="K260" s="1">
        <v>63</v>
      </c>
      <c r="L260" s="1" t="s">
        <v>94</v>
      </c>
      <c r="M260" s="1" t="s">
        <v>4666</v>
      </c>
      <c r="N260" s="1" t="s">
        <v>13</v>
      </c>
      <c r="O260" s="1" t="s">
        <v>7495</v>
      </c>
    </row>
    <row r="261" spans="1:15" x14ac:dyDescent="0.4">
      <c r="A261" s="1" t="s">
        <v>4550</v>
      </c>
      <c r="B261" s="1" t="s">
        <v>4545</v>
      </c>
      <c r="C261" s="1" t="s">
        <v>4553</v>
      </c>
      <c r="D261" s="1" t="s">
        <v>4546</v>
      </c>
      <c r="E261" s="1" t="s">
        <v>4704</v>
      </c>
      <c r="F261" s="1" t="s">
        <v>17</v>
      </c>
      <c r="G261" s="4" t="str">
        <f>"08816"</f>
        <v>08816</v>
      </c>
      <c r="H261" s="1">
        <v>0</v>
      </c>
      <c r="I261" s="1">
        <v>0</v>
      </c>
      <c r="J261" s="1">
        <v>0</v>
      </c>
      <c r="K261" s="1">
        <v>0</v>
      </c>
      <c r="L261" s="1" t="s">
        <v>1408</v>
      </c>
      <c r="M261" s="1" t="s">
        <v>4551</v>
      </c>
      <c r="N261" s="1" t="s">
        <v>13</v>
      </c>
      <c r="O261" s="1" t="s">
        <v>4552</v>
      </c>
    </row>
    <row r="262" spans="1:15" x14ac:dyDescent="0.4">
      <c r="A262" s="1" t="s">
        <v>3033</v>
      </c>
      <c r="B262" s="1" t="s">
        <v>3031</v>
      </c>
      <c r="C262" s="1" t="s">
        <v>3036</v>
      </c>
      <c r="D262" s="1" t="s">
        <v>2536</v>
      </c>
      <c r="E262" s="1" t="s">
        <v>8024</v>
      </c>
      <c r="F262" s="1" t="s">
        <v>17</v>
      </c>
      <c r="G262" s="4" t="str">
        <f>"07017"</f>
        <v>07017</v>
      </c>
      <c r="H262" s="1">
        <v>0</v>
      </c>
      <c r="I262" s="1">
        <v>0</v>
      </c>
      <c r="J262" s="1">
        <v>0</v>
      </c>
      <c r="K262" s="1">
        <v>0</v>
      </c>
      <c r="L262" s="1" t="s">
        <v>434</v>
      </c>
      <c r="M262" s="1" t="s">
        <v>3034</v>
      </c>
      <c r="N262" s="1" t="s">
        <v>13</v>
      </c>
      <c r="O262" s="1" t="s">
        <v>3035</v>
      </c>
    </row>
    <row r="263" spans="1:15" x14ac:dyDescent="0.4">
      <c r="A263" s="1" t="s">
        <v>1425</v>
      </c>
      <c r="B263" s="1" t="s">
        <v>1424</v>
      </c>
      <c r="C263" s="1" t="s">
        <v>1428</v>
      </c>
      <c r="D263" s="1" t="s">
        <v>1429</v>
      </c>
      <c r="E263" s="1" t="s">
        <v>8019</v>
      </c>
      <c r="F263" s="1" t="s">
        <v>17</v>
      </c>
      <c r="G263" s="4" t="str">
        <f>"08077"</f>
        <v>08077</v>
      </c>
      <c r="H263" s="1">
        <v>0</v>
      </c>
      <c r="I263" s="1">
        <v>0</v>
      </c>
      <c r="J263" s="1">
        <v>0</v>
      </c>
      <c r="K263" s="1">
        <v>0</v>
      </c>
      <c r="L263" s="1" t="s">
        <v>42</v>
      </c>
      <c r="M263" s="1" t="s">
        <v>1426</v>
      </c>
      <c r="N263" s="1" t="s">
        <v>13</v>
      </c>
      <c r="O263" s="1" t="s">
        <v>1427</v>
      </c>
    </row>
    <row r="264" spans="1:15" x14ac:dyDescent="0.4">
      <c r="A264" s="1" t="s">
        <v>1430</v>
      </c>
      <c r="B264" s="1" t="s">
        <v>1424</v>
      </c>
      <c r="C264" s="1" t="s">
        <v>1433</v>
      </c>
      <c r="D264" s="1" t="s">
        <v>1429</v>
      </c>
      <c r="E264" s="1" t="s">
        <v>8019</v>
      </c>
      <c r="F264" s="1" t="s">
        <v>17</v>
      </c>
      <c r="G264" s="4" t="str">
        <f>"08077"</f>
        <v>08077</v>
      </c>
      <c r="H264" s="1">
        <v>0</v>
      </c>
      <c r="I264" s="1">
        <v>0</v>
      </c>
      <c r="J264" s="1">
        <v>0</v>
      </c>
      <c r="K264" s="1">
        <v>0</v>
      </c>
      <c r="L264" s="1" t="s">
        <v>304</v>
      </c>
      <c r="M264" s="1" t="s">
        <v>1431</v>
      </c>
      <c r="N264" s="1" t="s">
        <v>13</v>
      </c>
      <c r="O264" s="1" t="s">
        <v>1432</v>
      </c>
    </row>
    <row r="265" spans="1:15" x14ac:dyDescent="0.4">
      <c r="A265" s="1" t="s">
        <v>1947</v>
      </c>
      <c r="B265" s="1" t="s">
        <v>1927</v>
      </c>
      <c r="C265" s="1" t="s">
        <v>1951</v>
      </c>
      <c r="D265" s="1" t="s">
        <v>1933</v>
      </c>
      <c r="E265" s="1" t="s">
        <v>1909</v>
      </c>
      <c r="F265" s="1" t="s">
        <v>17</v>
      </c>
      <c r="G265" s="4" t="str">
        <f>"08034-3121"</f>
        <v>08034-3121</v>
      </c>
      <c r="H265" s="1">
        <v>0</v>
      </c>
      <c r="I265" s="1">
        <v>0</v>
      </c>
      <c r="J265" s="1">
        <v>0</v>
      </c>
      <c r="K265" s="1">
        <v>71</v>
      </c>
      <c r="L265" s="1" t="s">
        <v>1948</v>
      </c>
      <c r="M265" s="1" t="s">
        <v>1949</v>
      </c>
      <c r="N265" s="1" t="s">
        <v>13</v>
      </c>
      <c r="O265" s="1" t="s">
        <v>1950</v>
      </c>
    </row>
    <row r="266" spans="1:15" x14ac:dyDescent="0.4">
      <c r="A266" s="1" t="s">
        <v>684</v>
      </c>
      <c r="B266" s="1" t="s">
        <v>673</v>
      </c>
      <c r="C266" s="1" t="s">
        <v>687</v>
      </c>
      <c r="D266" s="1" t="s">
        <v>678</v>
      </c>
      <c r="E266" s="1" t="s">
        <v>8018</v>
      </c>
      <c r="F266" s="1" t="s">
        <v>17</v>
      </c>
      <c r="G266" s="4" t="str">
        <f>"07452-3025"</f>
        <v>07452-3025</v>
      </c>
      <c r="H266" s="1">
        <v>0</v>
      </c>
      <c r="I266" s="1">
        <v>0</v>
      </c>
      <c r="J266" s="1">
        <v>0</v>
      </c>
      <c r="K266" s="1">
        <v>58</v>
      </c>
      <c r="L266" s="1" t="s">
        <v>685</v>
      </c>
      <c r="M266" s="1" t="s">
        <v>355</v>
      </c>
      <c r="N266" s="1" t="s">
        <v>13</v>
      </c>
      <c r="O266" s="1" t="s">
        <v>686</v>
      </c>
    </row>
    <row r="267" spans="1:15" x14ac:dyDescent="0.4">
      <c r="A267" s="1" t="s">
        <v>4417</v>
      </c>
      <c r="B267" s="1" t="s">
        <v>4393</v>
      </c>
      <c r="C267" s="1" t="s">
        <v>4420</v>
      </c>
      <c r="D267" s="1" t="s">
        <v>2427</v>
      </c>
      <c r="E267" s="1" t="s">
        <v>8026</v>
      </c>
      <c r="F267" s="1" t="s">
        <v>17</v>
      </c>
      <c r="G267" s="4" t="str">
        <f>"08611-2840"</f>
        <v>08611-2840</v>
      </c>
      <c r="H267" s="1">
        <v>0</v>
      </c>
      <c r="I267" s="1">
        <v>0</v>
      </c>
      <c r="J267" s="1">
        <v>0</v>
      </c>
      <c r="K267" s="1">
        <v>0</v>
      </c>
      <c r="L267" s="1" t="s">
        <v>4418</v>
      </c>
      <c r="M267" s="1" t="s">
        <v>32</v>
      </c>
      <c r="N267" s="1" t="s">
        <v>13</v>
      </c>
      <c r="O267" s="1" t="s">
        <v>4419</v>
      </c>
    </row>
    <row r="268" spans="1:15" x14ac:dyDescent="0.4">
      <c r="A268" s="1" t="s">
        <v>5054</v>
      </c>
      <c r="B268" s="1" t="s">
        <v>5044</v>
      </c>
      <c r="C268" s="1" t="s">
        <v>5058</v>
      </c>
      <c r="D268" s="1" t="s">
        <v>5059</v>
      </c>
      <c r="E268" s="1" t="s">
        <v>4704</v>
      </c>
      <c r="F268" s="1" t="s">
        <v>17</v>
      </c>
      <c r="G268" s="4" t="str">
        <f>"07067"</f>
        <v>07067</v>
      </c>
      <c r="H268" s="1">
        <v>0</v>
      </c>
      <c r="I268" s="1">
        <v>0</v>
      </c>
      <c r="J268" s="1">
        <v>0</v>
      </c>
      <c r="K268" s="1">
        <v>44</v>
      </c>
      <c r="L268" s="1" t="s">
        <v>5055</v>
      </c>
      <c r="M268" s="1" t="s">
        <v>5056</v>
      </c>
      <c r="N268" s="1" t="s">
        <v>13</v>
      </c>
      <c r="O268" s="1" t="s">
        <v>5057</v>
      </c>
    </row>
    <row r="269" spans="1:15" x14ac:dyDescent="0.4">
      <c r="A269" s="1" t="s">
        <v>3983</v>
      </c>
      <c r="B269" s="1" t="s">
        <v>3982</v>
      </c>
      <c r="C269" s="1" t="s">
        <v>3986</v>
      </c>
      <c r="D269" s="1" t="s">
        <v>3987</v>
      </c>
      <c r="E269" s="1" t="s">
        <v>3646</v>
      </c>
      <c r="F269" s="1" t="s">
        <v>17</v>
      </c>
      <c r="G269" s="4" t="str">
        <f>"07094-3004"</f>
        <v>07094-3004</v>
      </c>
      <c r="H269" s="1">
        <v>0</v>
      </c>
      <c r="I269" s="1">
        <v>0</v>
      </c>
      <c r="J269" s="1">
        <v>0</v>
      </c>
      <c r="K269" s="1">
        <v>84</v>
      </c>
      <c r="L269" s="1" t="s">
        <v>428</v>
      </c>
      <c r="M269" s="1" t="s">
        <v>3984</v>
      </c>
      <c r="N269" s="1" t="s">
        <v>13</v>
      </c>
      <c r="O269" s="1" t="s">
        <v>3985</v>
      </c>
    </row>
    <row r="270" spans="1:15" x14ac:dyDescent="0.4">
      <c r="A270" s="1" t="s">
        <v>5390</v>
      </c>
      <c r="B270" s="1" t="s">
        <v>5389</v>
      </c>
      <c r="C270" s="1" t="s">
        <v>5393</v>
      </c>
      <c r="D270" s="1" t="s">
        <v>5394</v>
      </c>
      <c r="E270" s="1" t="s">
        <v>8027</v>
      </c>
      <c r="F270" s="1" t="s">
        <v>17</v>
      </c>
      <c r="G270" s="4" t="str">
        <f>"07726-3798"</f>
        <v>07726-3798</v>
      </c>
      <c r="H270" s="1">
        <v>0</v>
      </c>
      <c r="I270" s="1">
        <v>0</v>
      </c>
      <c r="J270" s="1">
        <v>0</v>
      </c>
      <c r="K270" s="1">
        <v>0</v>
      </c>
      <c r="L270" s="1" t="s">
        <v>5315</v>
      </c>
      <c r="M270" s="1" t="s">
        <v>5391</v>
      </c>
      <c r="N270" s="1" t="s">
        <v>13</v>
      </c>
      <c r="O270" s="1" t="s">
        <v>5392</v>
      </c>
    </row>
    <row r="271" spans="1:15" x14ac:dyDescent="0.4">
      <c r="A271" s="1" t="s">
        <v>2477</v>
      </c>
      <c r="B271" s="1" t="s">
        <v>2477</v>
      </c>
      <c r="C271" s="1" t="s">
        <v>2480</v>
      </c>
      <c r="D271" s="1" t="s">
        <v>2481</v>
      </c>
      <c r="E271" s="1" t="s">
        <v>8022</v>
      </c>
      <c r="F271" s="1" t="s">
        <v>17</v>
      </c>
      <c r="G271" s="4" t="str">
        <f>"07011"</f>
        <v>07011</v>
      </c>
      <c r="H271" s="1">
        <v>0</v>
      </c>
      <c r="I271" s="1">
        <v>0</v>
      </c>
      <c r="J271" s="1">
        <v>0</v>
      </c>
      <c r="K271" s="1">
        <v>0</v>
      </c>
      <c r="L271" s="1" t="s">
        <v>1008</v>
      </c>
      <c r="M271" s="1" t="s">
        <v>2478</v>
      </c>
      <c r="N271" s="1" t="s">
        <v>1924</v>
      </c>
      <c r="O271" s="1" t="s">
        <v>2479</v>
      </c>
    </row>
    <row r="272" spans="1:15" x14ac:dyDescent="0.4">
      <c r="A272" s="1" t="s">
        <v>3542</v>
      </c>
      <c r="B272" s="1" t="s">
        <v>3541</v>
      </c>
      <c r="C272" s="1" t="s">
        <v>3545</v>
      </c>
      <c r="D272" s="1" t="s">
        <v>3546</v>
      </c>
      <c r="E272" s="1" t="s">
        <v>8020</v>
      </c>
      <c r="F272" s="1" t="s">
        <v>17</v>
      </c>
      <c r="G272" s="4" t="str">
        <f>"08312-1700"</f>
        <v>08312-1700</v>
      </c>
      <c r="H272" s="1">
        <v>0</v>
      </c>
      <c r="I272" s="1">
        <v>0</v>
      </c>
      <c r="J272" s="1">
        <v>0</v>
      </c>
      <c r="K272" s="1">
        <v>0</v>
      </c>
      <c r="L272" s="1" t="s">
        <v>1408</v>
      </c>
      <c r="M272" s="1" t="s">
        <v>3543</v>
      </c>
      <c r="N272" s="1" t="s">
        <v>13</v>
      </c>
      <c r="O272" s="1" t="s">
        <v>3544</v>
      </c>
    </row>
    <row r="273" spans="1:15" x14ac:dyDescent="0.4">
      <c r="A273" s="1" t="s">
        <v>107</v>
      </c>
      <c r="B273" s="1" t="s">
        <v>98</v>
      </c>
      <c r="C273" s="1" t="s">
        <v>111</v>
      </c>
      <c r="D273" s="1" t="s">
        <v>104</v>
      </c>
      <c r="E273" s="1" t="s">
        <v>8017</v>
      </c>
      <c r="F273" s="1" t="s">
        <v>17</v>
      </c>
      <c r="G273" s="4" t="str">
        <f>"08234-4513"</f>
        <v>08234-4513</v>
      </c>
      <c r="H273" s="1">
        <v>0</v>
      </c>
      <c r="I273" s="1">
        <v>0</v>
      </c>
      <c r="J273" s="1">
        <v>0</v>
      </c>
      <c r="K273" s="1">
        <v>159</v>
      </c>
      <c r="L273" s="1" t="s">
        <v>108</v>
      </c>
      <c r="M273" s="1" t="s">
        <v>109</v>
      </c>
      <c r="N273" s="1" t="s">
        <v>13</v>
      </c>
      <c r="O273" s="1" t="s">
        <v>110</v>
      </c>
    </row>
    <row r="274" spans="1:15" x14ac:dyDescent="0.4">
      <c r="A274" s="1" t="s">
        <v>3547</v>
      </c>
      <c r="B274" s="1" t="s">
        <v>3541</v>
      </c>
      <c r="C274" s="1" t="s">
        <v>3545</v>
      </c>
      <c r="D274" s="1" t="s">
        <v>3546</v>
      </c>
      <c r="E274" s="1" t="s">
        <v>8020</v>
      </c>
      <c r="F274" s="1" t="s">
        <v>17</v>
      </c>
      <c r="G274" s="4" t="str">
        <f>"08312-1700"</f>
        <v>08312-1700</v>
      </c>
      <c r="H274" s="1">
        <v>0</v>
      </c>
      <c r="I274" s="1">
        <v>0</v>
      </c>
      <c r="J274" s="1">
        <v>0</v>
      </c>
      <c r="K274" s="1">
        <v>0</v>
      </c>
      <c r="L274" s="1" t="s">
        <v>3548</v>
      </c>
      <c r="M274" s="1" t="s">
        <v>2546</v>
      </c>
      <c r="N274" s="1" t="s">
        <v>13</v>
      </c>
      <c r="O274" s="1" t="s">
        <v>3549</v>
      </c>
    </row>
    <row r="275" spans="1:15" x14ac:dyDescent="0.4">
      <c r="A275" s="1" t="s">
        <v>3551</v>
      </c>
      <c r="B275" s="1" t="s">
        <v>3550</v>
      </c>
      <c r="C275" s="1" t="s">
        <v>3554</v>
      </c>
      <c r="D275" s="1" t="s">
        <v>3555</v>
      </c>
      <c r="E275" s="1" t="s">
        <v>8020</v>
      </c>
      <c r="F275" s="1" t="s">
        <v>17</v>
      </c>
      <c r="G275" s="4" t="str">
        <f>"08062-9436"</f>
        <v>08062-9436</v>
      </c>
      <c r="H275" s="1">
        <v>0</v>
      </c>
      <c r="I275" s="1">
        <v>0</v>
      </c>
      <c r="J275" s="1">
        <v>0</v>
      </c>
      <c r="K275" s="1">
        <v>0</v>
      </c>
      <c r="L275" s="1" t="s">
        <v>832</v>
      </c>
      <c r="M275" s="1" t="s">
        <v>3552</v>
      </c>
      <c r="N275" s="1" t="s">
        <v>13</v>
      </c>
      <c r="O275" s="1" t="s">
        <v>3553</v>
      </c>
    </row>
    <row r="276" spans="1:15" x14ac:dyDescent="0.4">
      <c r="A276" s="1" t="s">
        <v>3556</v>
      </c>
      <c r="B276" s="1" t="s">
        <v>3550</v>
      </c>
      <c r="C276" s="1" t="s">
        <v>3559</v>
      </c>
      <c r="D276" s="1" t="s">
        <v>3555</v>
      </c>
      <c r="E276" s="1" t="s">
        <v>8020</v>
      </c>
      <c r="F276" s="1" t="s">
        <v>17</v>
      </c>
      <c r="G276" s="4" t="str">
        <f>"08062-9436"</f>
        <v>08062-9436</v>
      </c>
      <c r="H276" s="1">
        <v>0</v>
      </c>
      <c r="I276" s="1">
        <v>0</v>
      </c>
      <c r="J276" s="1">
        <v>0</v>
      </c>
      <c r="K276" s="1">
        <v>0</v>
      </c>
      <c r="L276" s="1" t="s">
        <v>149</v>
      </c>
      <c r="M276" s="1" t="s">
        <v>3557</v>
      </c>
      <c r="N276" s="1" t="s">
        <v>13</v>
      </c>
      <c r="O276" s="1" t="s">
        <v>3558</v>
      </c>
    </row>
    <row r="277" spans="1:15" x14ac:dyDescent="0.4">
      <c r="A277" s="1" t="s">
        <v>3396</v>
      </c>
      <c r="B277" s="1" t="s">
        <v>3391</v>
      </c>
      <c r="C277" s="1" t="s">
        <v>3399</v>
      </c>
      <c r="D277" s="1" t="s">
        <v>3400</v>
      </c>
      <c r="E277" s="1" t="s">
        <v>8024</v>
      </c>
      <c r="F277" s="1" t="s">
        <v>17</v>
      </c>
      <c r="G277" s="4" t="str">
        <f>"07050-1916"</f>
        <v>07050-1916</v>
      </c>
      <c r="H277" s="1">
        <v>0</v>
      </c>
      <c r="I277" s="1">
        <v>0</v>
      </c>
      <c r="J277" s="1">
        <v>0</v>
      </c>
      <c r="K277" s="1">
        <v>44</v>
      </c>
      <c r="L277" s="1" t="s">
        <v>1780</v>
      </c>
      <c r="M277" s="1" t="s">
        <v>3397</v>
      </c>
      <c r="N277" s="1" t="s">
        <v>13</v>
      </c>
      <c r="O277" s="1" t="s">
        <v>3398</v>
      </c>
    </row>
    <row r="278" spans="1:15" x14ac:dyDescent="0.4">
      <c r="A278" s="1" t="s">
        <v>397</v>
      </c>
      <c r="B278" s="1" t="s">
        <v>396</v>
      </c>
      <c r="C278" s="1" t="s">
        <v>400</v>
      </c>
      <c r="D278" s="1" t="s">
        <v>401</v>
      </c>
      <c r="E278" s="1" t="s">
        <v>8018</v>
      </c>
      <c r="F278" s="1" t="s">
        <v>17</v>
      </c>
      <c r="G278" s="4" t="str">
        <f>"07010"</f>
        <v>07010</v>
      </c>
      <c r="H278" s="1">
        <v>0</v>
      </c>
      <c r="I278" s="1">
        <v>0</v>
      </c>
      <c r="J278" s="1">
        <v>0</v>
      </c>
      <c r="K278" s="1">
        <v>0</v>
      </c>
      <c r="L278" s="1" t="s">
        <v>370</v>
      </c>
      <c r="M278" s="1" t="s">
        <v>398</v>
      </c>
      <c r="N278" s="1" t="s">
        <v>13</v>
      </c>
      <c r="O278" s="1" t="s">
        <v>399</v>
      </c>
    </row>
    <row r="279" spans="1:15" x14ac:dyDescent="0.4">
      <c r="A279" s="1" t="s">
        <v>6329</v>
      </c>
      <c r="B279" s="1" t="s">
        <v>6328</v>
      </c>
      <c r="C279" s="1" t="s">
        <v>6332</v>
      </c>
      <c r="D279" s="1" t="s">
        <v>6333</v>
      </c>
      <c r="E279" s="1" t="s">
        <v>8028</v>
      </c>
      <c r="F279" s="1" t="s">
        <v>17</v>
      </c>
      <c r="G279" s="4" t="str">
        <f>"08701"</f>
        <v>08701</v>
      </c>
      <c r="H279" s="1">
        <v>0</v>
      </c>
      <c r="I279" s="1">
        <v>0</v>
      </c>
      <c r="J279" s="1">
        <v>0</v>
      </c>
      <c r="K279" s="1">
        <v>0</v>
      </c>
      <c r="L279" s="1" t="s">
        <v>267</v>
      </c>
      <c r="M279" s="1" t="s">
        <v>6330</v>
      </c>
      <c r="N279" s="1" t="s">
        <v>13</v>
      </c>
      <c r="O279" s="1" t="s">
        <v>6331</v>
      </c>
    </row>
    <row r="280" spans="1:15" x14ac:dyDescent="0.4">
      <c r="A280" s="1" t="s">
        <v>6541</v>
      </c>
      <c r="B280" s="1" t="s">
        <v>6536</v>
      </c>
      <c r="C280" s="1" t="s">
        <v>6544</v>
      </c>
      <c r="D280" s="1" t="s">
        <v>2481</v>
      </c>
      <c r="E280" s="1" t="s">
        <v>2670</v>
      </c>
      <c r="F280" s="1" t="s">
        <v>17</v>
      </c>
      <c r="G280" s="4" t="str">
        <f>"07013"</f>
        <v>07013</v>
      </c>
      <c r="H280" s="1">
        <v>0</v>
      </c>
      <c r="I280" s="1">
        <v>0</v>
      </c>
      <c r="J280" s="1">
        <v>0</v>
      </c>
      <c r="K280" s="1">
        <v>0</v>
      </c>
      <c r="L280" s="1" t="s">
        <v>3920</v>
      </c>
      <c r="M280" s="1" t="s">
        <v>6542</v>
      </c>
      <c r="N280" s="1" t="s">
        <v>13</v>
      </c>
      <c r="O280" s="1" t="s">
        <v>6543</v>
      </c>
    </row>
    <row r="281" spans="1:15" x14ac:dyDescent="0.4">
      <c r="A281" s="1" t="s">
        <v>5231</v>
      </c>
      <c r="B281" s="1" t="s">
        <v>5225</v>
      </c>
      <c r="C281" s="1" t="s">
        <v>5234</v>
      </c>
      <c r="D281" s="1" t="s">
        <v>5198</v>
      </c>
      <c r="E281" s="1" t="s">
        <v>8027</v>
      </c>
      <c r="F281" s="1" t="s">
        <v>17</v>
      </c>
      <c r="G281" s="4" t="str">
        <f>"07728-2982"</f>
        <v>07728-2982</v>
      </c>
      <c r="H281" s="1">
        <v>0</v>
      </c>
      <c r="I281" s="1">
        <v>0</v>
      </c>
      <c r="J281" s="1">
        <v>0</v>
      </c>
      <c r="K281" s="1">
        <v>0</v>
      </c>
      <c r="L281" s="1" t="s">
        <v>1336</v>
      </c>
      <c r="M281" s="1" t="s">
        <v>5232</v>
      </c>
      <c r="N281" s="1" t="s">
        <v>13</v>
      </c>
      <c r="O281" s="1" t="s">
        <v>5233</v>
      </c>
    </row>
    <row r="282" spans="1:15" x14ac:dyDescent="0.4">
      <c r="A282" s="1" t="s">
        <v>3431</v>
      </c>
      <c r="B282" s="1" t="s">
        <v>3430</v>
      </c>
      <c r="C282" s="1" t="s">
        <v>3434</v>
      </c>
      <c r="D282" s="1" t="s">
        <v>3435</v>
      </c>
      <c r="E282" s="1" t="s">
        <v>8024</v>
      </c>
      <c r="F282" s="1" t="s">
        <v>17</v>
      </c>
      <c r="G282" s="4" t="str">
        <f>"07040-1429"</f>
        <v>07040-1429</v>
      </c>
      <c r="H282" s="1">
        <v>0</v>
      </c>
      <c r="I282" s="1">
        <v>0</v>
      </c>
      <c r="J282" s="1">
        <v>0</v>
      </c>
      <c r="K282" s="1">
        <v>61</v>
      </c>
      <c r="L282" s="1" t="s">
        <v>197</v>
      </c>
      <c r="M282" s="1" t="s">
        <v>3432</v>
      </c>
      <c r="N282" s="1" t="s">
        <v>13</v>
      </c>
      <c r="O282" s="1" t="s">
        <v>3433</v>
      </c>
    </row>
    <row r="283" spans="1:15" x14ac:dyDescent="0.4">
      <c r="A283" s="1" t="s">
        <v>3431</v>
      </c>
      <c r="B283" s="1" t="s">
        <v>7630</v>
      </c>
      <c r="C283" s="1" t="s">
        <v>7646</v>
      </c>
      <c r="D283" s="1" t="s">
        <v>2763</v>
      </c>
      <c r="E283" s="1" t="s">
        <v>8024</v>
      </c>
      <c r="F283" s="1" t="s">
        <v>17</v>
      </c>
      <c r="G283" s="4" t="str">
        <f>"07063"</f>
        <v>07063</v>
      </c>
      <c r="H283" s="1">
        <v>0</v>
      </c>
      <c r="I283" s="1">
        <v>0</v>
      </c>
      <c r="J283" s="1">
        <v>0</v>
      </c>
      <c r="K283" s="1">
        <v>61</v>
      </c>
      <c r="L283" s="1" t="s">
        <v>7644</v>
      </c>
      <c r="M283" s="1" t="s">
        <v>2036</v>
      </c>
      <c r="N283" s="1" t="s">
        <v>13</v>
      </c>
      <c r="O283" s="1" t="s">
        <v>7645</v>
      </c>
    </row>
    <row r="284" spans="1:15" x14ac:dyDescent="0.4">
      <c r="A284" s="1" t="s">
        <v>4081</v>
      </c>
      <c r="B284" s="1" t="s">
        <v>4080</v>
      </c>
      <c r="C284" s="1" t="s">
        <v>4083</v>
      </c>
      <c r="D284" s="1" t="s">
        <v>4084</v>
      </c>
      <c r="E284" s="1" t="s">
        <v>8025</v>
      </c>
      <c r="F284" s="1" t="s">
        <v>17</v>
      </c>
      <c r="G284" s="4" t="str">
        <f>"08809"</f>
        <v>08809</v>
      </c>
      <c r="H284" s="1">
        <v>0</v>
      </c>
      <c r="I284" s="1">
        <v>0</v>
      </c>
      <c r="J284" s="1">
        <v>0</v>
      </c>
      <c r="K284" s="1">
        <v>0</v>
      </c>
      <c r="L284" s="1" t="s">
        <v>2770</v>
      </c>
      <c r="M284" s="1" t="s">
        <v>1500</v>
      </c>
      <c r="N284" s="1" t="s">
        <v>13</v>
      </c>
      <c r="O284" s="1" t="s">
        <v>4082</v>
      </c>
    </row>
    <row r="285" spans="1:15" x14ac:dyDescent="0.4">
      <c r="A285" s="1" t="s">
        <v>2100</v>
      </c>
      <c r="B285" s="1" t="s">
        <v>2099</v>
      </c>
      <c r="C285" s="1" t="s">
        <v>2103</v>
      </c>
      <c r="D285" s="1" t="s">
        <v>2104</v>
      </c>
      <c r="E285" s="1" t="s">
        <v>1909</v>
      </c>
      <c r="F285" s="1" t="s">
        <v>17</v>
      </c>
      <c r="G285" s="4" t="str">
        <f>"08107"</f>
        <v>08107</v>
      </c>
      <c r="H285" s="1">
        <v>0</v>
      </c>
      <c r="I285" s="1">
        <v>0</v>
      </c>
      <c r="J285" s="1">
        <v>0</v>
      </c>
      <c r="K285" s="1">
        <v>19</v>
      </c>
      <c r="L285" s="1" t="s">
        <v>199</v>
      </c>
      <c r="M285" s="1" t="s">
        <v>2101</v>
      </c>
      <c r="N285" s="1" t="s">
        <v>13</v>
      </c>
      <c r="O285" s="1" t="s">
        <v>2102</v>
      </c>
    </row>
    <row r="286" spans="1:15" x14ac:dyDescent="0.4">
      <c r="A286" s="1" t="s">
        <v>4000</v>
      </c>
      <c r="B286" s="1" t="s">
        <v>3999</v>
      </c>
      <c r="C286" s="1" t="s">
        <v>4003</v>
      </c>
      <c r="D286" s="1" t="s">
        <v>4004</v>
      </c>
      <c r="E286" s="1" t="s">
        <v>3646</v>
      </c>
      <c r="F286" s="1" t="s">
        <v>17</v>
      </c>
      <c r="G286" s="4" t="str">
        <f>"07087"</f>
        <v>07087</v>
      </c>
      <c r="H286" s="1">
        <v>0</v>
      </c>
      <c r="I286" s="1">
        <v>0</v>
      </c>
      <c r="J286" s="1">
        <v>0</v>
      </c>
      <c r="K286" s="1">
        <v>81</v>
      </c>
      <c r="L286" s="1" t="s">
        <v>4001</v>
      </c>
      <c r="M286" s="1" t="s">
        <v>298</v>
      </c>
      <c r="N286" s="1" t="s">
        <v>13</v>
      </c>
      <c r="O286" s="1" t="s">
        <v>4002</v>
      </c>
    </row>
    <row r="287" spans="1:15" x14ac:dyDescent="0.4">
      <c r="A287" s="1" t="s">
        <v>2483</v>
      </c>
      <c r="B287" s="1" t="s">
        <v>2483</v>
      </c>
      <c r="C287" s="1" t="s">
        <v>2487</v>
      </c>
      <c r="D287" s="1" t="s">
        <v>2488</v>
      </c>
      <c r="E287" s="1" t="s">
        <v>8022</v>
      </c>
      <c r="F287" s="1" t="s">
        <v>17</v>
      </c>
      <c r="G287" s="4" t="str">
        <f>"07062"</f>
        <v>07062</v>
      </c>
      <c r="H287" s="1">
        <v>0</v>
      </c>
      <c r="I287" s="1">
        <v>0</v>
      </c>
      <c r="J287" s="1">
        <v>0</v>
      </c>
      <c r="K287" s="1">
        <v>115</v>
      </c>
      <c r="L287" s="1" t="s">
        <v>2484</v>
      </c>
      <c r="M287" s="1" t="s">
        <v>2485</v>
      </c>
      <c r="N287" s="1" t="s">
        <v>129</v>
      </c>
      <c r="O287" s="1" t="s">
        <v>2486</v>
      </c>
    </row>
    <row r="288" spans="1:15" x14ac:dyDescent="0.4">
      <c r="A288" s="1" t="s">
        <v>2491</v>
      </c>
      <c r="B288" s="1" t="s">
        <v>2490</v>
      </c>
      <c r="C288" s="1" t="s">
        <v>2495</v>
      </c>
      <c r="D288" s="1" t="s">
        <v>2496</v>
      </c>
      <c r="E288" s="1" t="s">
        <v>8022</v>
      </c>
      <c r="F288" s="1" t="s">
        <v>17</v>
      </c>
      <c r="G288" s="4" t="str">
        <f>"07753"</f>
        <v>07753</v>
      </c>
      <c r="H288" s="1">
        <v>0</v>
      </c>
      <c r="I288" s="1">
        <v>0</v>
      </c>
      <c r="J288" s="1">
        <v>0</v>
      </c>
      <c r="K288" s="1">
        <v>22</v>
      </c>
      <c r="L288" s="1" t="s">
        <v>2492</v>
      </c>
      <c r="M288" s="1" t="s">
        <v>2493</v>
      </c>
      <c r="N288" s="1" t="s">
        <v>923</v>
      </c>
      <c r="O288" s="1" t="s">
        <v>2494</v>
      </c>
    </row>
    <row r="289" spans="1:15" x14ac:dyDescent="0.4">
      <c r="A289" s="1" t="s">
        <v>2497</v>
      </c>
      <c r="B289" s="1" t="s">
        <v>2497</v>
      </c>
      <c r="C289" s="1" t="s">
        <v>2500</v>
      </c>
      <c r="D289" s="1" t="s">
        <v>1638</v>
      </c>
      <c r="E289" s="1" t="s">
        <v>8022</v>
      </c>
      <c r="F289" s="1" t="s">
        <v>17</v>
      </c>
      <c r="G289" s="4" t="str">
        <f>"07501"</f>
        <v>07501</v>
      </c>
      <c r="H289" s="1">
        <v>0</v>
      </c>
      <c r="I289" s="1">
        <v>0</v>
      </c>
      <c r="J289" s="1">
        <v>0</v>
      </c>
      <c r="K289" s="1">
        <v>199</v>
      </c>
      <c r="L289" s="1" t="s">
        <v>54</v>
      </c>
      <c r="M289" s="1" t="s">
        <v>2498</v>
      </c>
      <c r="N289" s="1" t="s">
        <v>923</v>
      </c>
      <c r="O289" s="1" t="s">
        <v>2499</v>
      </c>
    </row>
    <row r="290" spans="1:15" x14ac:dyDescent="0.4">
      <c r="A290" s="1" t="s">
        <v>2008</v>
      </c>
      <c r="B290" s="1" t="s">
        <v>2007</v>
      </c>
      <c r="C290" s="1" t="s">
        <v>2011</v>
      </c>
      <c r="D290" s="1" t="s">
        <v>2012</v>
      </c>
      <c r="E290" s="1" t="s">
        <v>1909</v>
      </c>
      <c r="F290" s="1" t="s">
        <v>17</v>
      </c>
      <c r="G290" s="4" t="str">
        <f>"08108"</f>
        <v>08108</v>
      </c>
      <c r="H290" s="1">
        <v>0</v>
      </c>
      <c r="I290" s="1">
        <v>0</v>
      </c>
      <c r="J290" s="1">
        <v>0</v>
      </c>
      <c r="K290" s="1">
        <v>0</v>
      </c>
      <c r="L290" s="1" t="s">
        <v>1843</v>
      </c>
      <c r="M290" s="1" t="s">
        <v>2009</v>
      </c>
      <c r="N290" s="1" t="s">
        <v>13</v>
      </c>
      <c r="O290" s="1" t="s">
        <v>2010</v>
      </c>
    </row>
    <row r="291" spans="1:15" x14ac:dyDescent="0.4">
      <c r="A291" s="1" t="s">
        <v>2013</v>
      </c>
      <c r="B291" s="1" t="s">
        <v>2007</v>
      </c>
      <c r="C291" s="1" t="s">
        <v>2016</v>
      </c>
      <c r="D291" s="1" t="s">
        <v>2012</v>
      </c>
      <c r="E291" s="1" t="s">
        <v>1909</v>
      </c>
      <c r="F291" s="1" t="s">
        <v>17</v>
      </c>
      <c r="G291" s="4" t="str">
        <f>"08108"</f>
        <v>08108</v>
      </c>
      <c r="H291" s="1">
        <v>0</v>
      </c>
      <c r="I291" s="1">
        <v>0</v>
      </c>
      <c r="J291" s="1">
        <v>0</v>
      </c>
      <c r="K291" s="1">
        <v>0</v>
      </c>
      <c r="L291" s="1" t="s">
        <v>434</v>
      </c>
      <c r="M291" s="1" t="s">
        <v>2014</v>
      </c>
      <c r="N291" s="1" t="s">
        <v>13</v>
      </c>
      <c r="O291" s="1" t="s">
        <v>2015</v>
      </c>
    </row>
    <row r="292" spans="1:15" x14ac:dyDescent="0.4">
      <c r="A292" s="1" t="s">
        <v>3146</v>
      </c>
      <c r="B292" s="1" t="s">
        <v>3144</v>
      </c>
      <c r="C292" s="1" t="s">
        <v>3149</v>
      </c>
      <c r="D292" s="1" t="s">
        <v>3145</v>
      </c>
      <c r="E292" s="1" t="s">
        <v>8024</v>
      </c>
      <c r="F292" s="1" t="s">
        <v>17</v>
      </c>
      <c r="G292" s="4" t="str">
        <f>"07039-4631"</f>
        <v>07039-4631</v>
      </c>
      <c r="H292" s="1">
        <v>0</v>
      </c>
      <c r="I292" s="1">
        <v>0</v>
      </c>
      <c r="J292" s="1">
        <v>0</v>
      </c>
      <c r="K292" s="1">
        <v>56</v>
      </c>
      <c r="L292" s="1" t="s">
        <v>272</v>
      </c>
      <c r="M292" s="1" t="s">
        <v>3147</v>
      </c>
      <c r="N292" s="1" t="s">
        <v>13</v>
      </c>
      <c r="O292" s="1" t="s">
        <v>3148</v>
      </c>
    </row>
    <row r="293" spans="1:15" x14ac:dyDescent="0.4">
      <c r="A293" s="1" t="s">
        <v>5060</v>
      </c>
      <c r="B293" s="1" t="s">
        <v>5044</v>
      </c>
      <c r="C293" s="1" t="s">
        <v>5063</v>
      </c>
      <c r="D293" s="1" t="s">
        <v>5059</v>
      </c>
      <c r="E293" s="1" t="s">
        <v>4704</v>
      </c>
      <c r="F293" s="1" t="s">
        <v>17</v>
      </c>
      <c r="G293" s="4" t="str">
        <f>"07067"</f>
        <v>07067</v>
      </c>
      <c r="H293" s="1">
        <v>0</v>
      </c>
      <c r="I293" s="1">
        <v>0</v>
      </c>
      <c r="J293" s="1">
        <v>0</v>
      </c>
      <c r="K293" s="1">
        <v>0</v>
      </c>
      <c r="L293" s="1" t="s">
        <v>380</v>
      </c>
      <c r="M293" s="1" t="s">
        <v>5061</v>
      </c>
      <c r="N293" s="1" t="s">
        <v>13</v>
      </c>
      <c r="O293" s="1" t="s">
        <v>5062</v>
      </c>
    </row>
    <row r="294" spans="1:15" x14ac:dyDescent="0.4">
      <c r="A294" s="1" t="s">
        <v>5064</v>
      </c>
      <c r="B294" s="1" t="s">
        <v>5044</v>
      </c>
      <c r="C294" s="1" t="s">
        <v>5067</v>
      </c>
      <c r="D294" s="1" t="s">
        <v>5059</v>
      </c>
      <c r="E294" s="1" t="s">
        <v>4704</v>
      </c>
      <c r="F294" s="1" t="s">
        <v>17</v>
      </c>
      <c r="G294" s="4" t="str">
        <f>"07067"</f>
        <v>07067</v>
      </c>
      <c r="H294" s="1">
        <v>0</v>
      </c>
      <c r="I294" s="1">
        <v>0</v>
      </c>
      <c r="J294" s="1">
        <v>0</v>
      </c>
      <c r="K294" s="1">
        <v>0</v>
      </c>
      <c r="L294" s="1" t="s">
        <v>62</v>
      </c>
      <c r="M294" s="1" t="s">
        <v>5065</v>
      </c>
      <c r="N294" s="1" t="s">
        <v>13</v>
      </c>
      <c r="O294" s="1" t="s">
        <v>5066</v>
      </c>
    </row>
    <row r="295" spans="1:15" x14ac:dyDescent="0.4">
      <c r="A295" s="1" t="s">
        <v>5200</v>
      </c>
      <c r="B295" s="1" t="s">
        <v>5199</v>
      </c>
      <c r="C295" s="1" t="s">
        <v>5202</v>
      </c>
      <c r="D295" s="1" t="s">
        <v>5166</v>
      </c>
      <c r="E295" s="1" t="s">
        <v>8027</v>
      </c>
      <c r="F295" s="1" t="s">
        <v>17</v>
      </c>
      <c r="G295" s="4" t="str">
        <f>"07722-1710"</f>
        <v>07722-1710</v>
      </c>
      <c r="H295" s="1">
        <v>0</v>
      </c>
      <c r="I295" s="1">
        <v>0</v>
      </c>
      <c r="J295" s="1">
        <v>0</v>
      </c>
      <c r="K295" s="1">
        <v>0</v>
      </c>
      <c r="L295" s="1" t="s">
        <v>50</v>
      </c>
      <c r="M295" s="1" t="s">
        <v>4666</v>
      </c>
      <c r="N295" s="1" t="s">
        <v>13</v>
      </c>
      <c r="O295" s="1" t="s">
        <v>5201</v>
      </c>
    </row>
    <row r="296" spans="1:15" x14ac:dyDescent="0.4">
      <c r="A296" s="1" t="s">
        <v>3436</v>
      </c>
      <c r="B296" s="1" t="s">
        <v>3430</v>
      </c>
      <c r="C296" s="1" t="s">
        <v>3438</v>
      </c>
      <c r="D296" s="1" t="s">
        <v>3435</v>
      </c>
      <c r="E296" s="1" t="s">
        <v>8024</v>
      </c>
      <c r="F296" s="1" t="s">
        <v>17</v>
      </c>
      <c r="G296" s="4" t="str">
        <f>"07040-1327"</f>
        <v>07040-1327</v>
      </c>
      <c r="H296" s="1">
        <v>0</v>
      </c>
      <c r="I296" s="1">
        <v>0</v>
      </c>
      <c r="J296" s="1">
        <v>0</v>
      </c>
      <c r="K296" s="1">
        <v>0</v>
      </c>
      <c r="L296" s="1" t="s">
        <v>123</v>
      </c>
      <c r="M296" s="1" t="s">
        <v>716</v>
      </c>
      <c r="N296" s="1" t="s">
        <v>1183</v>
      </c>
      <c r="O296" s="1" t="s">
        <v>3437</v>
      </c>
    </row>
    <row r="297" spans="1:15" x14ac:dyDescent="0.4">
      <c r="A297" s="1" t="s">
        <v>7407</v>
      </c>
      <c r="B297" s="1" t="s">
        <v>7406</v>
      </c>
      <c r="C297" s="1" t="s">
        <v>7410</v>
      </c>
      <c r="D297" s="1" t="s">
        <v>7411</v>
      </c>
      <c r="E297" s="1" t="s">
        <v>7833</v>
      </c>
      <c r="F297" s="1" t="s">
        <v>17</v>
      </c>
      <c r="G297" s="4" t="str">
        <f>"07922-1436"</f>
        <v>07922-1436</v>
      </c>
      <c r="H297" s="1">
        <v>0</v>
      </c>
      <c r="I297" s="1">
        <v>0</v>
      </c>
      <c r="J297" s="1">
        <v>0</v>
      </c>
      <c r="K297" s="1">
        <v>0</v>
      </c>
      <c r="L297" s="1" t="s">
        <v>563</v>
      </c>
      <c r="M297" s="1" t="s">
        <v>7408</v>
      </c>
      <c r="N297" s="1" t="s">
        <v>13</v>
      </c>
      <c r="O297" s="1" t="s">
        <v>7409</v>
      </c>
    </row>
    <row r="298" spans="1:15" x14ac:dyDescent="0.4">
      <c r="A298" s="1" t="s">
        <v>5546</v>
      </c>
      <c r="B298" s="1" t="s">
        <v>5536</v>
      </c>
      <c r="C298" s="1" t="s">
        <v>5548</v>
      </c>
      <c r="D298" s="1" t="s">
        <v>5549</v>
      </c>
      <c r="E298" s="1" t="s">
        <v>8027</v>
      </c>
      <c r="F298" s="1" t="s">
        <v>17</v>
      </c>
      <c r="G298" s="4" t="str">
        <f>"07719-1320"</f>
        <v>07719-1320</v>
      </c>
      <c r="H298" s="1">
        <v>0</v>
      </c>
      <c r="I298" s="1">
        <v>0</v>
      </c>
      <c r="J298" s="1">
        <v>0</v>
      </c>
      <c r="K298" s="1">
        <v>0</v>
      </c>
      <c r="L298" s="1" t="s">
        <v>3016</v>
      </c>
      <c r="M298" s="1" t="s">
        <v>3355</v>
      </c>
      <c r="N298" s="1" t="s">
        <v>13</v>
      </c>
      <c r="O298" s="1" t="s">
        <v>5547</v>
      </c>
    </row>
    <row r="299" spans="1:15" x14ac:dyDescent="0.4">
      <c r="A299" s="1" t="s">
        <v>781</v>
      </c>
      <c r="B299" s="1" t="s">
        <v>777</v>
      </c>
      <c r="C299" s="1" t="s">
        <v>782</v>
      </c>
      <c r="D299" s="1" t="s">
        <v>783</v>
      </c>
      <c r="E299" s="1" t="s">
        <v>8018</v>
      </c>
      <c r="F299" s="1" t="s">
        <v>17</v>
      </c>
      <c r="G299" s="4" t="str">
        <f>"07071-2252"</f>
        <v>07071-2252</v>
      </c>
      <c r="H299" s="1">
        <v>0</v>
      </c>
      <c r="I299" s="1">
        <v>0</v>
      </c>
      <c r="J299" s="1">
        <v>0</v>
      </c>
      <c r="K299" s="1">
        <v>0</v>
      </c>
      <c r="L299" s="1" t="s">
        <v>306</v>
      </c>
      <c r="M299" s="1" t="s">
        <v>778</v>
      </c>
      <c r="N299" s="1" t="s">
        <v>13</v>
      </c>
      <c r="O299" s="1" t="s">
        <v>779</v>
      </c>
    </row>
    <row r="300" spans="1:15" x14ac:dyDescent="0.4">
      <c r="A300" s="1" t="s">
        <v>2502</v>
      </c>
      <c r="B300" s="1" t="s">
        <v>2502</v>
      </c>
      <c r="C300" s="1" t="s">
        <v>2506</v>
      </c>
      <c r="D300" s="1" t="s">
        <v>2460</v>
      </c>
      <c r="E300" s="1" t="s">
        <v>8022</v>
      </c>
      <c r="F300" s="1" t="s">
        <v>17</v>
      </c>
      <c r="G300" s="4" t="str">
        <f>"07501-1720"</f>
        <v>07501-1720</v>
      </c>
      <c r="H300" s="1">
        <v>0</v>
      </c>
      <c r="I300" s="1">
        <v>0</v>
      </c>
      <c r="J300" s="1">
        <v>0</v>
      </c>
      <c r="K300" s="1">
        <v>95</v>
      </c>
      <c r="L300" s="1" t="s">
        <v>2503</v>
      </c>
      <c r="M300" s="1" t="s">
        <v>2504</v>
      </c>
      <c r="N300" s="1" t="s">
        <v>91</v>
      </c>
      <c r="O300" s="1" t="s">
        <v>2505</v>
      </c>
    </row>
    <row r="301" spans="1:15" x14ac:dyDescent="0.4">
      <c r="A301" s="1" t="s">
        <v>4484</v>
      </c>
      <c r="B301" s="1" t="s">
        <v>4483</v>
      </c>
      <c r="C301" s="1" t="s">
        <v>4487</v>
      </c>
      <c r="D301" s="1" t="s">
        <v>4488</v>
      </c>
      <c r="E301" s="1" t="s">
        <v>8026</v>
      </c>
      <c r="F301" s="1" t="s">
        <v>17</v>
      </c>
      <c r="G301" s="4" t="str">
        <f>"08536"</f>
        <v>08536</v>
      </c>
      <c r="H301" s="1">
        <v>0</v>
      </c>
      <c r="I301" s="1">
        <v>0</v>
      </c>
      <c r="J301" s="1">
        <v>0</v>
      </c>
      <c r="K301" s="1">
        <v>0</v>
      </c>
      <c r="L301" s="1" t="s">
        <v>1653</v>
      </c>
      <c r="M301" s="1" t="s">
        <v>4485</v>
      </c>
      <c r="N301" s="1" t="s">
        <v>13</v>
      </c>
      <c r="O301" s="1" t="s">
        <v>4486</v>
      </c>
    </row>
    <row r="302" spans="1:15" x14ac:dyDescent="0.4">
      <c r="A302" s="1" t="s">
        <v>4484</v>
      </c>
      <c r="B302" s="1" t="s">
        <v>7063</v>
      </c>
      <c r="C302" s="1" t="s">
        <v>7070</v>
      </c>
      <c r="D302" s="1" t="s">
        <v>7067</v>
      </c>
      <c r="E302" s="1" t="s">
        <v>8026</v>
      </c>
      <c r="F302" s="1" t="s">
        <v>17</v>
      </c>
      <c r="G302" s="4" t="str">
        <f>"08805"</f>
        <v>08805</v>
      </c>
      <c r="H302" s="1">
        <v>0</v>
      </c>
      <c r="I302" s="1">
        <v>0</v>
      </c>
      <c r="J302" s="1">
        <v>0</v>
      </c>
      <c r="K302" s="1">
        <v>0</v>
      </c>
      <c r="L302" s="1" t="s">
        <v>62</v>
      </c>
      <c r="M302" s="1" t="s">
        <v>7068</v>
      </c>
      <c r="N302" s="1" t="s">
        <v>13</v>
      </c>
      <c r="O302" s="1" t="s">
        <v>7069</v>
      </c>
    </row>
    <row r="303" spans="1:15" x14ac:dyDescent="0.4">
      <c r="A303" s="1" t="s">
        <v>4905</v>
      </c>
      <c r="B303" s="1" t="s">
        <v>4900</v>
      </c>
      <c r="C303" s="1" t="s">
        <v>4908</v>
      </c>
      <c r="D303" s="1" t="s">
        <v>4631</v>
      </c>
      <c r="E303" s="1" t="s">
        <v>4704</v>
      </c>
      <c r="F303" s="1" t="s">
        <v>17</v>
      </c>
      <c r="G303" s="4" t="str">
        <f>"08854"</f>
        <v>08854</v>
      </c>
      <c r="H303" s="1">
        <v>0</v>
      </c>
      <c r="I303" s="1">
        <v>0</v>
      </c>
      <c r="J303" s="1">
        <v>0</v>
      </c>
      <c r="K303" s="1">
        <v>0</v>
      </c>
      <c r="L303" s="1" t="s">
        <v>1408</v>
      </c>
      <c r="M303" s="1" t="s">
        <v>4906</v>
      </c>
      <c r="N303" s="1" t="s">
        <v>13</v>
      </c>
      <c r="O303" s="1" t="s">
        <v>4907</v>
      </c>
    </row>
    <row r="304" spans="1:15" x14ac:dyDescent="0.4">
      <c r="A304" s="1" t="s">
        <v>5167</v>
      </c>
      <c r="B304" s="1" t="s">
        <v>5161</v>
      </c>
      <c r="C304" s="1" t="s">
        <v>5170</v>
      </c>
      <c r="D304" s="1" t="s">
        <v>5166</v>
      </c>
      <c r="E304" s="1" t="s">
        <v>8027</v>
      </c>
      <c r="F304" s="1" t="s">
        <v>17</v>
      </c>
      <c r="G304" s="4" t="str">
        <f>"07722-1250"</f>
        <v>07722-1250</v>
      </c>
      <c r="H304" s="1">
        <v>0</v>
      </c>
      <c r="I304" s="1">
        <v>0</v>
      </c>
      <c r="J304" s="1">
        <v>0</v>
      </c>
      <c r="K304" s="1">
        <v>0</v>
      </c>
      <c r="L304" s="1" t="s">
        <v>34</v>
      </c>
      <c r="M304" s="1" t="s">
        <v>5168</v>
      </c>
      <c r="N304" s="1" t="s">
        <v>13</v>
      </c>
      <c r="O304" s="1" t="s">
        <v>5169</v>
      </c>
    </row>
    <row r="305" spans="1:15" x14ac:dyDescent="0.4">
      <c r="A305" s="1" t="s">
        <v>6126</v>
      </c>
      <c r="B305" s="1" t="s">
        <v>6118</v>
      </c>
      <c r="C305" s="1" t="s">
        <v>6130</v>
      </c>
      <c r="D305" s="1" t="s">
        <v>5931</v>
      </c>
      <c r="E305" s="1" t="s">
        <v>1503</v>
      </c>
      <c r="F305" s="1" t="s">
        <v>17</v>
      </c>
      <c r="G305" s="4" t="str">
        <f>"07866"</f>
        <v>07866</v>
      </c>
      <c r="H305" s="1">
        <v>0</v>
      </c>
      <c r="I305" s="1">
        <v>0</v>
      </c>
      <c r="J305" s="1">
        <v>0</v>
      </c>
      <c r="K305" s="1">
        <v>0</v>
      </c>
      <c r="L305" s="1" t="s">
        <v>6127</v>
      </c>
      <c r="M305" s="1" t="s">
        <v>6128</v>
      </c>
      <c r="N305" s="1" t="s">
        <v>13</v>
      </c>
      <c r="O305" s="1" t="s">
        <v>6129</v>
      </c>
    </row>
    <row r="306" spans="1:15" x14ac:dyDescent="0.4">
      <c r="A306" s="1" t="s">
        <v>1616</v>
      </c>
      <c r="B306" s="1" t="s">
        <v>1615</v>
      </c>
      <c r="C306" s="1" t="s">
        <v>1619</v>
      </c>
      <c r="D306" s="1" t="s">
        <v>1620</v>
      </c>
      <c r="E306" s="1" t="s">
        <v>8019</v>
      </c>
      <c r="F306" s="1" t="s">
        <v>17</v>
      </c>
      <c r="G306" s="4" t="str">
        <f>"08054"</f>
        <v>08054</v>
      </c>
      <c r="H306" s="1">
        <v>0</v>
      </c>
      <c r="I306" s="1">
        <v>0</v>
      </c>
      <c r="J306" s="1">
        <v>0</v>
      </c>
      <c r="K306" s="1">
        <v>54</v>
      </c>
      <c r="L306" s="1" t="s">
        <v>199</v>
      </c>
      <c r="M306" s="1" t="s">
        <v>1617</v>
      </c>
      <c r="N306" s="1" t="s">
        <v>13</v>
      </c>
      <c r="O306" s="1" t="s">
        <v>1618</v>
      </c>
    </row>
    <row r="307" spans="1:15" x14ac:dyDescent="0.4">
      <c r="A307" s="1" t="s">
        <v>3876</v>
      </c>
      <c r="B307" s="1" t="s">
        <v>3864</v>
      </c>
      <c r="C307" s="1" t="s">
        <v>3877</v>
      </c>
      <c r="D307" s="1" t="s">
        <v>2605</v>
      </c>
      <c r="E307" s="1" t="s">
        <v>3646</v>
      </c>
      <c r="F307" s="1" t="s">
        <v>17</v>
      </c>
      <c r="G307" s="4" t="str">
        <f>"07306-3237"</f>
        <v>07306-3237</v>
      </c>
      <c r="H307" s="1">
        <v>0</v>
      </c>
      <c r="I307" s="1">
        <v>0</v>
      </c>
      <c r="J307" s="1">
        <v>0</v>
      </c>
      <c r="K307" s="1">
        <v>0</v>
      </c>
      <c r="L307" s="1" t="s">
        <v>403</v>
      </c>
      <c r="M307" s="1" t="s">
        <v>3871</v>
      </c>
      <c r="N307" s="1" t="s">
        <v>13</v>
      </c>
      <c r="O307" s="1" t="s">
        <v>3872</v>
      </c>
    </row>
    <row r="308" spans="1:15" x14ac:dyDescent="0.4">
      <c r="A308" s="1" t="s">
        <v>5258</v>
      </c>
      <c r="B308" s="1" t="s">
        <v>5251</v>
      </c>
      <c r="C308" s="1" t="s">
        <v>5261</v>
      </c>
      <c r="D308" s="1" t="s">
        <v>5257</v>
      </c>
      <c r="E308" s="1" t="s">
        <v>8027</v>
      </c>
      <c r="F308" s="1" t="s">
        <v>17</v>
      </c>
      <c r="G308" s="4" t="str">
        <f>"07730-2137"</f>
        <v>07730-2137</v>
      </c>
      <c r="H308" s="1">
        <v>0</v>
      </c>
      <c r="I308" s="1">
        <v>0</v>
      </c>
      <c r="J308" s="1">
        <v>0</v>
      </c>
      <c r="K308" s="1">
        <v>0</v>
      </c>
      <c r="L308" s="1" t="s">
        <v>425</v>
      </c>
      <c r="M308" s="1" t="s">
        <v>5259</v>
      </c>
      <c r="N308" s="1" t="s">
        <v>13</v>
      </c>
      <c r="O308" s="1" t="s">
        <v>5260</v>
      </c>
    </row>
    <row r="309" spans="1:15" x14ac:dyDescent="0.4">
      <c r="A309" s="1" t="s">
        <v>7456</v>
      </c>
      <c r="B309" s="1" t="s">
        <v>7446</v>
      </c>
      <c r="C309" s="1" t="s">
        <v>7459</v>
      </c>
      <c r="D309" s="1" t="s">
        <v>7452</v>
      </c>
      <c r="E309" s="1" t="s">
        <v>7833</v>
      </c>
      <c r="F309" s="1" t="s">
        <v>17</v>
      </c>
      <c r="G309" s="4" t="str">
        <f>"07016"</f>
        <v>07016</v>
      </c>
      <c r="H309" s="1">
        <v>0</v>
      </c>
      <c r="I309" s="1">
        <v>0</v>
      </c>
      <c r="J309" s="1">
        <v>0</v>
      </c>
      <c r="K309" s="1">
        <v>0</v>
      </c>
      <c r="L309" s="1" t="s">
        <v>236</v>
      </c>
      <c r="M309" s="1" t="s">
        <v>7457</v>
      </c>
      <c r="N309" s="1" t="s">
        <v>13</v>
      </c>
      <c r="O309" s="1" t="s">
        <v>7458</v>
      </c>
    </row>
    <row r="310" spans="1:15" x14ac:dyDescent="0.4">
      <c r="A310" s="1" t="s">
        <v>1882</v>
      </c>
      <c r="B310" s="1" t="s">
        <v>1872</v>
      </c>
      <c r="C310" s="1" t="s">
        <v>1886</v>
      </c>
      <c r="D310" s="1" t="s">
        <v>1810</v>
      </c>
      <c r="E310" s="1" t="s">
        <v>1909</v>
      </c>
      <c r="F310" s="1" t="s">
        <v>17</v>
      </c>
      <c r="G310" s="4" t="str">
        <f>"08103"</f>
        <v>08103</v>
      </c>
      <c r="H310" s="1">
        <v>0</v>
      </c>
      <c r="I310" s="1">
        <v>0</v>
      </c>
      <c r="J310" s="1">
        <v>0</v>
      </c>
      <c r="K310" s="1">
        <v>0</v>
      </c>
      <c r="L310" s="1" t="s">
        <v>1883</v>
      </c>
      <c r="M310" s="1" t="s">
        <v>1884</v>
      </c>
      <c r="N310" s="1" t="s">
        <v>13</v>
      </c>
      <c r="O310" s="1" t="s">
        <v>1885</v>
      </c>
    </row>
    <row r="311" spans="1:15" x14ac:dyDescent="0.4">
      <c r="A311" s="1" t="s">
        <v>2509</v>
      </c>
      <c r="B311" s="1" t="s">
        <v>2509</v>
      </c>
      <c r="C311" s="1" t="s">
        <v>2513</v>
      </c>
      <c r="D311" s="1" t="s">
        <v>2514</v>
      </c>
      <c r="E311" s="1" t="s">
        <v>8022</v>
      </c>
      <c r="F311" s="1" t="s">
        <v>17</v>
      </c>
      <c r="G311" s="4" t="str">
        <f>"08318"</f>
        <v>08318</v>
      </c>
      <c r="H311" s="1">
        <v>0</v>
      </c>
      <c r="I311" s="1">
        <v>0</v>
      </c>
      <c r="J311" s="1">
        <v>0</v>
      </c>
      <c r="K311" s="1">
        <v>0</v>
      </c>
      <c r="L311" s="1" t="s">
        <v>2510</v>
      </c>
      <c r="M311" s="1" t="s">
        <v>2511</v>
      </c>
      <c r="N311" s="1" t="s">
        <v>13</v>
      </c>
      <c r="O311" s="1" t="s">
        <v>2512</v>
      </c>
    </row>
    <row r="312" spans="1:15" x14ac:dyDescent="0.4">
      <c r="A312" s="1" t="s">
        <v>1261</v>
      </c>
      <c r="B312" s="1" t="s">
        <v>1260</v>
      </c>
      <c r="C312" s="1" t="s">
        <v>1264</v>
      </c>
      <c r="D312" s="1" t="s">
        <v>1265</v>
      </c>
      <c r="E312" s="1" t="s">
        <v>8018</v>
      </c>
      <c r="F312" s="1" t="s">
        <v>17</v>
      </c>
      <c r="G312" s="4" t="str">
        <f>"07463"</f>
        <v>07463</v>
      </c>
      <c r="H312" s="1">
        <v>0</v>
      </c>
      <c r="I312" s="1">
        <v>0</v>
      </c>
      <c r="J312" s="1">
        <v>0</v>
      </c>
      <c r="K312" s="1">
        <v>46</v>
      </c>
      <c r="L312" s="1" t="s">
        <v>50</v>
      </c>
      <c r="M312" s="1" t="s">
        <v>1262</v>
      </c>
      <c r="N312" s="1" t="s">
        <v>13</v>
      </c>
      <c r="O312" s="1" t="s">
        <v>1263</v>
      </c>
    </row>
    <row r="313" spans="1:15" x14ac:dyDescent="0.4">
      <c r="A313" s="1" t="s">
        <v>433</v>
      </c>
      <c r="B313" s="1" t="s">
        <v>432</v>
      </c>
      <c r="C313" s="1" t="s">
        <v>437</v>
      </c>
      <c r="D313" s="1" t="s">
        <v>438</v>
      </c>
      <c r="E313" s="1" t="s">
        <v>8018</v>
      </c>
      <c r="F313" s="1" t="s">
        <v>17</v>
      </c>
      <c r="G313" s="4" t="str">
        <f>"07626"</f>
        <v>07626</v>
      </c>
      <c r="H313" s="1">
        <v>0</v>
      </c>
      <c r="I313" s="1">
        <v>0</v>
      </c>
      <c r="J313" s="1">
        <v>0</v>
      </c>
      <c r="K313" s="1">
        <v>0</v>
      </c>
      <c r="L313" s="1" t="s">
        <v>434</v>
      </c>
      <c r="M313" s="1" t="s">
        <v>435</v>
      </c>
      <c r="N313" s="1" t="s">
        <v>13</v>
      </c>
      <c r="O313" s="1" t="s">
        <v>436</v>
      </c>
    </row>
    <row r="314" spans="1:15" x14ac:dyDescent="0.4">
      <c r="A314" s="1" t="s">
        <v>440</v>
      </c>
      <c r="B314" s="1" t="s">
        <v>432</v>
      </c>
      <c r="C314" s="1" t="s">
        <v>437</v>
      </c>
      <c r="D314" s="1" t="s">
        <v>438</v>
      </c>
      <c r="E314" s="1" t="s">
        <v>8018</v>
      </c>
      <c r="F314" s="1" t="s">
        <v>17</v>
      </c>
      <c r="G314" s="4" t="str">
        <f>"07626"</f>
        <v>07626</v>
      </c>
      <c r="H314" s="1">
        <v>0</v>
      </c>
      <c r="I314" s="1">
        <v>0</v>
      </c>
      <c r="J314" s="1">
        <v>0</v>
      </c>
      <c r="K314" s="1">
        <v>0</v>
      </c>
      <c r="L314" s="1" t="s">
        <v>434</v>
      </c>
      <c r="M314" s="1" t="s">
        <v>435</v>
      </c>
      <c r="N314" s="1" t="s">
        <v>13</v>
      </c>
      <c r="O314" s="1" t="s">
        <v>436</v>
      </c>
    </row>
    <row r="315" spans="1:15" x14ac:dyDescent="0.4">
      <c r="A315" s="1" t="s">
        <v>2516</v>
      </c>
      <c r="B315" s="1" t="s">
        <v>2516</v>
      </c>
      <c r="C315" s="1" t="s">
        <v>2520</v>
      </c>
      <c r="D315" s="1" t="s">
        <v>2488</v>
      </c>
      <c r="E315" s="1" t="s">
        <v>8022</v>
      </c>
      <c r="F315" s="1" t="s">
        <v>17</v>
      </c>
      <c r="G315" s="4" t="str">
        <f>"07060"</f>
        <v>07060</v>
      </c>
      <c r="H315" s="1">
        <v>0</v>
      </c>
      <c r="I315" s="1">
        <v>0</v>
      </c>
      <c r="J315" s="1">
        <v>0</v>
      </c>
      <c r="K315" s="1">
        <v>75</v>
      </c>
      <c r="L315" s="1" t="s">
        <v>2517</v>
      </c>
      <c r="M315" s="1" t="s">
        <v>2518</v>
      </c>
      <c r="N315" s="1" t="s">
        <v>129</v>
      </c>
      <c r="O315" s="1" t="s">
        <v>2519</v>
      </c>
    </row>
    <row r="316" spans="1:15" x14ac:dyDescent="0.4">
      <c r="A316" s="1" t="s">
        <v>7107</v>
      </c>
      <c r="B316" s="1" t="s">
        <v>7093</v>
      </c>
      <c r="C316" s="1" t="s">
        <v>7111</v>
      </c>
      <c r="D316" s="1" t="s">
        <v>7094</v>
      </c>
      <c r="E316" s="1" t="s">
        <v>2471</v>
      </c>
      <c r="F316" s="1" t="s">
        <v>17</v>
      </c>
      <c r="G316" s="4" t="str">
        <f>"08807"</f>
        <v>08807</v>
      </c>
      <c r="H316" s="1">
        <v>0</v>
      </c>
      <c r="I316" s="1">
        <v>0</v>
      </c>
      <c r="J316" s="1">
        <v>44</v>
      </c>
      <c r="K316" s="1">
        <v>5</v>
      </c>
      <c r="L316" s="1" t="s">
        <v>7108</v>
      </c>
      <c r="M316" s="1" t="s">
        <v>7109</v>
      </c>
      <c r="N316" s="1" t="s">
        <v>13</v>
      </c>
      <c r="O316" s="1" t="s">
        <v>7110</v>
      </c>
    </row>
    <row r="317" spans="1:15" x14ac:dyDescent="0.4">
      <c r="A317" s="1" t="s">
        <v>4981</v>
      </c>
      <c r="B317" s="1" t="s">
        <v>4968</v>
      </c>
      <c r="C317" s="1" t="s">
        <v>4984</v>
      </c>
      <c r="D317" s="1" t="s">
        <v>4973</v>
      </c>
      <c r="E317" s="1" t="s">
        <v>4704</v>
      </c>
      <c r="F317" s="1" t="s">
        <v>17</v>
      </c>
      <c r="G317" s="4" t="str">
        <f>"08852"</f>
        <v>08852</v>
      </c>
      <c r="H317" s="1">
        <v>0</v>
      </c>
      <c r="I317" s="1">
        <v>0</v>
      </c>
      <c r="J317" s="1">
        <v>0</v>
      </c>
      <c r="K317" s="1">
        <v>0</v>
      </c>
      <c r="L317" s="1" t="s">
        <v>180</v>
      </c>
      <c r="M317" s="1" t="s">
        <v>4982</v>
      </c>
      <c r="N317" s="1" t="s">
        <v>13</v>
      </c>
      <c r="O317" s="1" t="s">
        <v>4983</v>
      </c>
    </row>
    <row r="318" spans="1:15" x14ac:dyDescent="0.4">
      <c r="A318" s="1" t="s">
        <v>4985</v>
      </c>
      <c r="B318" s="1" t="s">
        <v>4968</v>
      </c>
      <c r="C318" s="1" t="s">
        <v>4988</v>
      </c>
      <c r="D318" s="1" t="s">
        <v>4973</v>
      </c>
      <c r="E318" s="1" t="s">
        <v>4704</v>
      </c>
      <c r="F318" s="1" t="s">
        <v>17</v>
      </c>
      <c r="G318" s="4" t="str">
        <f>"08852"</f>
        <v>08852</v>
      </c>
      <c r="H318" s="1">
        <v>0</v>
      </c>
      <c r="I318" s="1">
        <v>0</v>
      </c>
      <c r="J318" s="1">
        <v>0</v>
      </c>
      <c r="K318" s="1">
        <v>0</v>
      </c>
      <c r="L318" s="1" t="s">
        <v>151</v>
      </c>
      <c r="M318" s="1" t="s">
        <v>4986</v>
      </c>
      <c r="N318" s="1" t="s">
        <v>13</v>
      </c>
      <c r="O318" s="1" t="s">
        <v>4987</v>
      </c>
    </row>
    <row r="319" spans="1:15" x14ac:dyDescent="0.4">
      <c r="A319" s="1" t="s">
        <v>7018</v>
      </c>
      <c r="B319" s="1" t="s">
        <v>7017</v>
      </c>
      <c r="C319" s="1" t="s">
        <v>7020</v>
      </c>
      <c r="D319" s="1" t="s">
        <v>2453</v>
      </c>
      <c r="E319" s="1" t="s">
        <v>8029</v>
      </c>
      <c r="F319" s="1" t="s">
        <v>17</v>
      </c>
      <c r="G319" s="4" t="str">
        <f>"08302"</f>
        <v>08302</v>
      </c>
      <c r="H319" s="1">
        <v>4</v>
      </c>
      <c r="I319" s="1">
        <v>4.5</v>
      </c>
      <c r="J319" s="1">
        <v>0</v>
      </c>
      <c r="K319" s="1">
        <v>3</v>
      </c>
      <c r="L319" s="1" t="s">
        <v>50</v>
      </c>
      <c r="M319" s="1" t="s">
        <v>1778</v>
      </c>
      <c r="N319" s="1" t="s">
        <v>13</v>
      </c>
      <c r="O319" s="1" t="s">
        <v>7019</v>
      </c>
    </row>
    <row r="320" spans="1:15" x14ac:dyDescent="0.4">
      <c r="A320" s="1" t="s">
        <v>2825</v>
      </c>
      <c r="B320" s="1" t="s">
        <v>2824</v>
      </c>
      <c r="C320" s="1" t="s">
        <v>2828</v>
      </c>
      <c r="D320" s="1" t="s">
        <v>2455</v>
      </c>
      <c r="E320" s="1" t="s">
        <v>8023</v>
      </c>
      <c r="F320" s="1" t="s">
        <v>17</v>
      </c>
      <c r="G320" s="4" t="str">
        <f>"08332"</f>
        <v>08332</v>
      </c>
      <c r="H320" s="1">
        <v>0</v>
      </c>
      <c r="I320" s="1">
        <v>0</v>
      </c>
      <c r="J320" s="1">
        <v>0</v>
      </c>
      <c r="K320" s="1">
        <v>0</v>
      </c>
      <c r="L320" s="1" t="s">
        <v>68</v>
      </c>
      <c r="M320" s="1" t="s">
        <v>2826</v>
      </c>
      <c r="N320" s="1" t="s">
        <v>13</v>
      </c>
      <c r="O320" s="1" t="s">
        <v>2827</v>
      </c>
    </row>
    <row r="321" spans="1:15" x14ac:dyDescent="0.4">
      <c r="A321" s="1" t="s">
        <v>2830</v>
      </c>
      <c r="B321" s="1" t="s">
        <v>2829</v>
      </c>
      <c r="C321" s="1" t="s">
        <v>2832</v>
      </c>
      <c r="D321" s="1" t="s">
        <v>2802</v>
      </c>
      <c r="E321" s="1" t="s">
        <v>8023</v>
      </c>
      <c r="F321" s="1" t="s">
        <v>17</v>
      </c>
      <c r="G321" s="4" t="str">
        <f>"08302"</f>
        <v>08302</v>
      </c>
      <c r="H321" s="1">
        <v>0</v>
      </c>
      <c r="I321" s="1">
        <v>0</v>
      </c>
      <c r="J321" s="1">
        <v>0</v>
      </c>
      <c r="K321" s="1">
        <v>0</v>
      </c>
      <c r="L321" s="1" t="s">
        <v>747</v>
      </c>
      <c r="M321" s="1" t="s">
        <v>387</v>
      </c>
      <c r="N321" s="1" t="s">
        <v>13</v>
      </c>
      <c r="O321" s="1" t="s">
        <v>2831</v>
      </c>
    </row>
    <row r="322" spans="1:15" x14ac:dyDescent="0.4">
      <c r="A322" s="1" t="s">
        <v>2884</v>
      </c>
      <c r="B322" s="1" t="s">
        <v>2878</v>
      </c>
      <c r="C322" s="1" t="s">
        <v>2888</v>
      </c>
      <c r="D322" s="1" t="s">
        <v>2796</v>
      </c>
      <c r="E322" s="1" t="s">
        <v>8023</v>
      </c>
      <c r="F322" s="1" t="s">
        <v>17</v>
      </c>
      <c r="G322" s="4" t="str">
        <f>"08360-4337"</f>
        <v>08360-4337</v>
      </c>
      <c r="H322" s="1">
        <v>0</v>
      </c>
      <c r="I322" s="1">
        <v>0</v>
      </c>
      <c r="J322" s="1">
        <v>0</v>
      </c>
      <c r="K322" s="1">
        <v>50</v>
      </c>
      <c r="L322" s="1" t="s">
        <v>2885</v>
      </c>
      <c r="M322" s="1" t="s">
        <v>2886</v>
      </c>
      <c r="N322" s="1" t="s">
        <v>13</v>
      </c>
      <c r="O322" s="1" t="s">
        <v>2887</v>
      </c>
    </row>
    <row r="323" spans="1:15" x14ac:dyDescent="0.4">
      <c r="A323" s="1" t="s">
        <v>6623</v>
      </c>
      <c r="B323" s="1" t="s">
        <v>6622</v>
      </c>
      <c r="C323" s="1" t="s">
        <v>6627</v>
      </c>
      <c r="D323" s="1" t="s">
        <v>2670</v>
      </c>
      <c r="E323" s="1" t="s">
        <v>2670</v>
      </c>
      <c r="F323" s="1" t="s">
        <v>17</v>
      </c>
      <c r="G323" s="4" t="str">
        <f>"07055"</f>
        <v>07055</v>
      </c>
      <c r="H323" s="1">
        <v>0</v>
      </c>
      <c r="I323" s="1">
        <v>0</v>
      </c>
      <c r="J323" s="1">
        <v>0</v>
      </c>
      <c r="K323" s="1">
        <v>0</v>
      </c>
      <c r="L323" s="1" t="s">
        <v>6624</v>
      </c>
      <c r="M323" s="1" t="s">
        <v>6625</v>
      </c>
      <c r="N323" s="1" t="s">
        <v>13</v>
      </c>
      <c r="O323" s="1" t="s">
        <v>6626</v>
      </c>
    </row>
    <row r="324" spans="1:15" x14ac:dyDescent="0.4">
      <c r="A324" s="1" t="s">
        <v>7022</v>
      </c>
      <c r="B324" s="1" t="s">
        <v>7017</v>
      </c>
      <c r="C324" s="1" t="s">
        <v>7025</v>
      </c>
      <c r="D324" s="1" t="s">
        <v>7026</v>
      </c>
      <c r="E324" s="1" t="s">
        <v>8029</v>
      </c>
      <c r="F324" s="1" t="s">
        <v>17</v>
      </c>
      <c r="G324" s="4" t="str">
        <f>"08318"</f>
        <v>08318</v>
      </c>
      <c r="H324" s="1">
        <v>0</v>
      </c>
      <c r="I324" s="1">
        <v>0</v>
      </c>
      <c r="J324" s="1">
        <v>0</v>
      </c>
      <c r="K324" s="1">
        <v>0</v>
      </c>
      <c r="L324" s="1" t="s">
        <v>1304</v>
      </c>
      <c r="M324" s="1" t="s">
        <v>7023</v>
      </c>
      <c r="N324" s="1" t="s">
        <v>13</v>
      </c>
      <c r="O324" s="1" t="s">
        <v>7024</v>
      </c>
    </row>
    <row r="325" spans="1:15" x14ac:dyDescent="0.4">
      <c r="A325" s="1" t="s">
        <v>4421</v>
      </c>
      <c r="B325" s="1" t="s">
        <v>4393</v>
      </c>
      <c r="C325" s="1" t="s">
        <v>4424</v>
      </c>
      <c r="D325" s="1" t="s">
        <v>2600</v>
      </c>
      <c r="E325" s="1" t="s">
        <v>8026</v>
      </c>
      <c r="F325" s="1" t="s">
        <v>17</v>
      </c>
      <c r="G325" s="4" t="str">
        <f>"08638-3431"</f>
        <v>08638-3431</v>
      </c>
      <c r="H325" s="1">
        <v>0</v>
      </c>
      <c r="I325" s="1">
        <v>0</v>
      </c>
      <c r="J325" s="1">
        <v>0</v>
      </c>
      <c r="K325" s="1">
        <v>86</v>
      </c>
      <c r="L325" s="1" t="s">
        <v>4422</v>
      </c>
      <c r="M325" s="1" t="s">
        <v>3301</v>
      </c>
      <c r="N325" s="1" t="s">
        <v>13</v>
      </c>
      <c r="O325" s="1" t="s">
        <v>4423</v>
      </c>
    </row>
    <row r="326" spans="1:15" x14ac:dyDescent="0.4">
      <c r="A326" s="1" t="s">
        <v>7579</v>
      </c>
      <c r="B326" s="1" t="s">
        <v>7578</v>
      </c>
      <c r="C326" s="1" t="s">
        <v>7582</v>
      </c>
      <c r="D326" s="1" t="s">
        <v>7583</v>
      </c>
      <c r="E326" s="1" t="s">
        <v>7833</v>
      </c>
      <c r="F326" s="1" t="s">
        <v>17</v>
      </c>
      <c r="G326" s="4" t="str">
        <f>"07033"</f>
        <v>07033</v>
      </c>
      <c r="H326" s="1">
        <v>0</v>
      </c>
      <c r="I326" s="1">
        <v>0</v>
      </c>
      <c r="J326" s="1">
        <v>0</v>
      </c>
      <c r="K326" s="1">
        <v>0</v>
      </c>
      <c r="L326" s="1" t="s">
        <v>434</v>
      </c>
      <c r="M326" s="1" t="s">
        <v>7580</v>
      </c>
      <c r="N326" s="1" t="s">
        <v>13</v>
      </c>
      <c r="O326" s="1" t="s">
        <v>7581</v>
      </c>
    </row>
    <row r="327" spans="1:15" x14ac:dyDescent="0.4">
      <c r="A327" s="1" t="s">
        <v>863</v>
      </c>
      <c r="B327" s="1" t="s">
        <v>856</v>
      </c>
      <c r="C327" s="1" t="s">
        <v>866</v>
      </c>
      <c r="D327" s="1" t="s">
        <v>862</v>
      </c>
      <c r="E327" s="1" t="s">
        <v>8018</v>
      </c>
      <c r="F327" s="1" t="s">
        <v>17</v>
      </c>
      <c r="G327" s="4" t="str">
        <f>"07646"</f>
        <v>07646</v>
      </c>
      <c r="H327" s="1">
        <v>1</v>
      </c>
      <c r="I327" s="1">
        <v>0.2</v>
      </c>
      <c r="J327" s="1">
        <v>0</v>
      </c>
      <c r="K327" s="1">
        <v>0</v>
      </c>
      <c r="L327" s="1" t="s">
        <v>34</v>
      </c>
      <c r="M327" s="1" t="s">
        <v>864</v>
      </c>
      <c r="N327" s="1" t="s">
        <v>13</v>
      </c>
      <c r="O327" s="1" t="s">
        <v>865</v>
      </c>
    </row>
    <row r="328" spans="1:15" x14ac:dyDescent="0.4">
      <c r="A328" s="1" t="s">
        <v>5172</v>
      </c>
      <c r="B328" s="1" t="s">
        <v>5171</v>
      </c>
      <c r="C328" s="1" t="s">
        <v>5176</v>
      </c>
      <c r="D328" s="1" t="s">
        <v>5177</v>
      </c>
      <c r="E328" s="1" t="s">
        <v>8027</v>
      </c>
      <c r="F328" s="1" t="s">
        <v>17</v>
      </c>
      <c r="G328" s="4" t="str">
        <f>"07723-1098"</f>
        <v>07723-1098</v>
      </c>
      <c r="H328" s="1">
        <v>0</v>
      </c>
      <c r="I328" s="1">
        <v>0</v>
      </c>
      <c r="J328" s="1">
        <v>0</v>
      </c>
      <c r="K328" s="1">
        <v>17</v>
      </c>
      <c r="L328" s="1" t="s">
        <v>5173</v>
      </c>
      <c r="M328" s="1" t="s">
        <v>5174</v>
      </c>
      <c r="N328" s="1" t="s">
        <v>129</v>
      </c>
      <c r="O328" s="1" t="s">
        <v>5175</v>
      </c>
    </row>
    <row r="329" spans="1:15" x14ac:dyDescent="0.4">
      <c r="A329" s="1" t="s">
        <v>5611</v>
      </c>
      <c r="B329" s="1" t="s">
        <v>5610</v>
      </c>
      <c r="C329" s="1" t="s">
        <v>5613</v>
      </c>
      <c r="D329" s="1" t="s">
        <v>5614</v>
      </c>
      <c r="E329" s="1" t="s">
        <v>8027</v>
      </c>
      <c r="F329" s="1" t="s">
        <v>17</v>
      </c>
      <c r="G329" s="4" t="str">
        <f>"07760-1592"</f>
        <v>07760-1592</v>
      </c>
      <c r="H329" s="1">
        <v>0</v>
      </c>
      <c r="I329" s="1">
        <v>0</v>
      </c>
      <c r="J329" s="1">
        <v>0</v>
      </c>
      <c r="K329" s="1">
        <v>91</v>
      </c>
      <c r="L329" s="1" t="s">
        <v>66</v>
      </c>
      <c r="M329" s="1" t="s">
        <v>8040</v>
      </c>
      <c r="N329" s="1" t="s">
        <v>13</v>
      </c>
      <c r="O329" s="1" t="s">
        <v>5612</v>
      </c>
    </row>
    <row r="330" spans="1:15" x14ac:dyDescent="0.4">
      <c r="A330" s="1" t="s">
        <v>7554</v>
      </c>
      <c r="B330" s="1" t="s">
        <v>7552</v>
      </c>
      <c r="C330" s="1" t="s">
        <v>7557</v>
      </c>
      <c r="D330" s="1" t="s">
        <v>7553</v>
      </c>
      <c r="E330" s="1" t="s">
        <v>7833</v>
      </c>
      <c r="F330" s="1" t="s">
        <v>17</v>
      </c>
      <c r="G330" s="4" t="str">
        <f>"07205-1721"</f>
        <v>07205-1721</v>
      </c>
      <c r="H330" s="1">
        <v>0</v>
      </c>
      <c r="I330" s="1">
        <v>0</v>
      </c>
      <c r="J330" s="1">
        <v>0</v>
      </c>
      <c r="K330" s="1">
        <v>0</v>
      </c>
      <c r="L330" s="1" t="s">
        <v>7555</v>
      </c>
      <c r="M330" s="1" t="s">
        <v>1420</v>
      </c>
      <c r="N330" s="1" t="s">
        <v>13</v>
      </c>
      <c r="O330" s="1" t="s">
        <v>7556</v>
      </c>
    </row>
    <row r="331" spans="1:15" x14ac:dyDescent="0.4">
      <c r="A331" s="1" t="s">
        <v>7616</v>
      </c>
      <c r="B331" s="1" t="s">
        <v>7610</v>
      </c>
      <c r="C331" s="1" t="s">
        <v>7619</v>
      </c>
      <c r="D331" s="1" t="s">
        <v>7615</v>
      </c>
      <c r="E331" s="1" t="s">
        <v>7833</v>
      </c>
      <c r="F331" s="1" t="s">
        <v>17</v>
      </c>
      <c r="G331" s="4" t="str">
        <f>"07092"</f>
        <v>07092</v>
      </c>
      <c r="H331" s="1">
        <v>0</v>
      </c>
      <c r="I331" s="1">
        <v>0</v>
      </c>
      <c r="J331" s="1">
        <v>0</v>
      </c>
      <c r="K331" s="1">
        <v>0</v>
      </c>
      <c r="L331" s="1" t="s">
        <v>597</v>
      </c>
      <c r="M331" s="1" t="s">
        <v>7617</v>
      </c>
      <c r="N331" s="1" t="s">
        <v>13</v>
      </c>
      <c r="O331" s="1" t="s">
        <v>7618</v>
      </c>
    </row>
    <row r="332" spans="1:15" x14ac:dyDescent="0.4">
      <c r="A332" s="1" t="s">
        <v>3177</v>
      </c>
      <c r="B332" s="1" t="s">
        <v>3176</v>
      </c>
      <c r="C332" s="1" t="s">
        <v>3179</v>
      </c>
      <c r="D332" s="1" t="s">
        <v>3180</v>
      </c>
      <c r="E332" s="1" t="s">
        <v>8024</v>
      </c>
      <c r="F332" s="1" t="s">
        <v>17</v>
      </c>
      <c r="G332" s="4" t="str">
        <f>"07078"</f>
        <v>07078</v>
      </c>
      <c r="H332" s="1">
        <v>0</v>
      </c>
      <c r="I332" s="1">
        <v>0</v>
      </c>
      <c r="J332" s="1">
        <v>0</v>
      </c>
      <c r="K332" s="1">
        <v>60</v>
      </c>
      <c r="L332" s="1" t="s">
        <v>28</v>
      </c>
      <c r="M332" s="1" t="s">
        <v>541</v>
      </c>
      <c r="N332" s="1" t="s">
        <v>13</v>
      </c>
      <c r="O332" s="1" t="s">
        <v>3178</v>
      </c>
    </row>
    <row r="333" spans="1:15" x14ac:dyDescent="0.4">
      <c r="A333" s="1" t="s">
        <v>2191</v>
      </c>
      <c r="B333" s="1" t="s">
        <v>2184</v>
      </c>
      <c r="C333" s="1" t="s">
        <v>2194</v>
      </c>
      <c r="D333" s="1" t="s">
        <v>2195</v>
      </c>
      <c r="E333" s="1" t="s">
        <v>1909</v>
      </c>
      <c r="F333" s="1" t="s">
        <v>17</v>
      </c>
      <c r="G333" s="4" t="str">
        <f>"08110-3411"</f>
        <v>08110-3411</v>
      </c>
      <c r="H333" s="1">
        <v>0</v>
      </c>
      <c r="I333" s="1">
        <v>0</v>
      </c>
      <c r="J333" s="1">
        <v>0</v>
      </c>
      <c r="K333" s="1">
        <v>79</v>
      </c>
      <c r="L333" s="1" t="s">
        <v>2192</v>
      </c>
      <c r="M333" s="1" t="s">
        <v>370</v>
      </c>
      <c r="N333" s="1" t="s">
        <v>13</v>
      </c>
      <c r="O333" s="1" t="s">
        <v>2193</v>
      </c>
    </row>
    <row r="334" spans="1:15" x14ac:dyDescent="0.4">
      <c r="A334" s="1" t="s">
        <v>4096</v>
      </c>
      <c r="B334" s="1" t="s">
        <v>4095</v>
      </c>
      <c r="C334" s="1" t="s">
        <v>4099</v>
      </c>
      <c r="D334" s="1" t="s">
        <v>4100</v>
      </c>
      <c r="E334" s="1" t="s">
        <v>8025</v>
      </c>
      <c r="F334" s="1" t="s">
        <v>17</v>
      </c>
      <c r="G334" s="4" t="str">
        <f>"08825"</f>
        <v>08825</v>
      </c>
      <c r="H334" s="1">
        <v>0</v>
      </c>
      <c r="I334" s="1">
        <v>0</v>
      </c>
      <c r="J334" s="1">
        <v>0</v>
      </c>
      <c r="K334" s="1">
        <v>0</v>
      </c>
      <c r="L334" s="1" t="s">
        <v>158</v>
      </c>
      <c r="M334" s="1" t="s">
        <v>4097</v>
      </c>
      <c r="N334" s="1" t="s">
        <v>13</v>
      </c>
      <c r="O334" s="1" t="s">
        <v>4098</v>
      </c>
    </row>
    <row r="335" spans="1:15" x14ac:dyDescent="0.4">
      <c r="A335" s="1" t="s">
        <v>3439</v>
      </c>
      <c r="B335" s="1" t="s">
        <v>3430</v>
      </c>
      <c r="C335" s="1" t="s">
        <v>3441</v>
      </c>
      <c r="D335" s="1" t="s">
        <v>3435</v>
      </c>
      <c r="E335" s="1" t="s">
        <v>8024</v>
      </c>
      <c r="F335" s="1" t="s">
        <v>17</v>
      </c>
      <c r="G335" s="4" t="str">
        <f>"07040-2158"</f>
        <v>07040-2158</v>
      </c>
      <c r="H335" s="1">
        <v>0</v>
      </c>
      <c r="I335" s="1">
        <v>0</v>
      </c>
      <c r="J335" s="1">
        <v>0</v>
      </c>
      <c r="K335" s="1">
        <v>105</v>
      </c>
      <c r="L335" s="1" t="s">
        <v>180</v>
      </c>
      <c r="M335" s="1" t="s">
        <v>524</v>
      </c>
      <c r="N335" s="1" t="s">
        <v>13</v>
      </c>
      <c r="O335" s="1" t="s">
        <v>3440</v>
      </c>
    </row>
    <row r="336" spans="1:15" x14ac:dyDescent="0.4">
      <c r="A336" s="1" t="s">
        <v>1450</v>
      </c>
      <c r="B336" s="1" t="s">
        <v>1449</v>
      </c>
      <c r="C336" s="1" t="s">
        <v>1453</v>
      </c>
      <c r="D336" s="1" t="s">
        <v>1454</v>
      </c>
      <c r="E336" s="1" t="s">
        <v>8019</v>
      </c>
      <c r="F336" s="1" t="s">
        <v>17</v>
      </c>
      <c r="G336" s="4" t="str">
        <f>"08075"</f>
        <v>08075</v>
      </c>
      <c r="H336" s="1">
        <v>0</v>
      </c>
      <c r="I336" s="1">
        <v>0</v>
      </c>
      <c r="J336" s="1">
        <v>0</v>
      </c>
      <c r="K336" s="1">
        <v>0</v>
      </c>
      <c r="L336" s="1" t="s">
        <v>50</v>
      </c>
      <c r="M336" s="1" t="s">
        <v>1451</v>
      </c>
      <c r="N336" s="1" t="s">
        <v>13</v>
      </c>
      <c r="O336" s="1" t="s">
        <v>1452</v>
      </c>
    </row>
    <row r="337" spans="1:15" x14ac:dyDescent="0.4">
      <c r="A337" s="1" t="s">
        <v>1455</v>
      </c>
      <c r="B337" s="1" t="s">
        <v>1449</v>
      </c>
      <c r="C337" s="1" t="s">
        <v>1458</v>
      </c>
      <c r="D337" s="1" t="s">
        <v>1454</v>
      </c>
      <c r="E337" s="1" t="s">
        <v>8019</v>
      </c>
      <c r="F337" s="1" t="s">
        <v>17</v>
      </c>
      <c r="G337" s="4" t="str">
        <f>"08075"</f>
        <v>08075</v>
      </c>
      <c r="H337" s="1">
        <v>0</v>
      </c>
      <c r="I337" s="1">
        <v>0</v>
      </c>
      <c r="J337" s="1">
        <v>0</v>
      </c>
      <c r="K337" s="1">
        <v>0</v>
      </c>
      <c r="L337" s="1" t="s">
        <v>180</v>
      </c>
      <c r="M337" s="1" t="s">
        <v>1456</v>
      </c>
      <c r="N337" s="1" t="s">
        <v>13</v>
      </c>
      <c r="O337" s="1" t="s">
        <v>1457</v>
      </c>
    </row>
    <row r="338" spans="1:15" x14ac:dyDescent="0.4">
      <c r="A338" s="1" t="s">
        <v>1460</v>
      </c>
      <c r="B338" s="1" t="s">
        <v>1449</v>
      </c>
      <c r="C338" s="1" t="s">
        <v>1462</v>
      </c>
      <c r="D338" s="1" t="s">
        <v>1454</v>
      </c>
      <c r="E338" s="1" t="s">
        <v>8019</v>
      </c>
      <c r="F338" s="1" t="s">
        <v>17</v>
      </c>
      <c r="G338" s="4" t="str">
        <f>"08075"</f>
        <v>08075</v>
      </c>
      <c r="H338" s="1">
        <v>0</v>
      </c>
      <c r="I338" s="1">
        <v>0</v>
      </c>
      <c r="J338" s="1">
        <v>0</v>
      </c>
      <c r="K338" s="1">
        <v>0</v>
      </c>
      <c r="L338" s="1" t="s">
        <v>1443</v>
      </c>
      <c r="M338" s="1" t="s">
        <v>1444</v>
      </c>
      <c r="N338" s="1" t="s">
        <v>13</v>
      </c>
      <c r="O338" s="1" t="s">
        <v>1461</v>
      </c>
    </row>
    <row r="339" spans="1:15" x14ac:dyDescent="0.4">
      <c r="A339" s="1" t="s">
        <v>3561</v>
      </c>
      <c r="B339" s="1" t="s">
        <v>3560</v>
      </c>
      <c r="C339" s="1" t="s">
        <v>3564</v>
      </c>
      <c r="D339" s="1" t="s">
        <v>3565</v>
      </c>
      <c r="E339" s="1" t="s">
        <v>8020</v>
      </c>
      <c r="F339" s="1" t="s">
        <v>17</v>
      </c>
      <c r="G339" s="4" t="str">
        <f>"08322-9139"</f>
        <v>08322-9139</v>
      </c>
      <c r="H339" s="1">
        <v>0</v>
      </c>
      <c r="I339" s="1">
        <v>0</v>
      </c>
      <c r="J339" s="1">
        <v>0</v>
      </c>
      <c r="K339" s="1">
        <v>0</v>
      </c>
      <c r="L339" s="1" t="s">
        <v>497</v>
      </c>
      <c r="M339" s="1" t="s">
        <v>3562</v>
      </c>
      <c r="N339" s="1" t="s">
        <v>13</v>
      </c>
      <c r="O339" s="1" t="s">
        <v>3563</v>
      </c>
    </row>
    <row r="340" spans="1:15" x14ac:dyDescent="0.4">
      <c r="A340" s="1" t="s">
        <v>3566</v>
      </c>
      <c r="B340" s="1" t="s">
        <v>3560</v>
      </c>
      <c r="C340" s="1" t="s">
        <v>3569</v>
      </c>
      <c r="D340" s="1" t="s">
        <v>3565</v>
      </c>
      <c r="E340" s="1" t="s">
        <v>8020</v>
      </c>
      <c r="F340" s="1" t="s">
        <v>17</v>
      </c>
      <c r="G340" s="4" t="str">
        <f>"08322"</f>
        <v>08322</v>
      </c>
      <c r="H340" s="1">
        <v>0</v>
      </c>
      <c r="I340" s="1">
        <v>0</v>
      </c>
      <c r="J340" s="1">
        <v>0</v>
      </c>
      <c r="K340" s="1">
        <v>0</v>
      </c>
      <c r="L340" s="1" t="s">
        <v>434</v>
      </c>
      <c r="M340" s="1" t="s">
        <v>3567</v>
      </c>
      <c r="N340" s="1" t="s">
        <v>13</v>
      </c>
      <c r="O340" s="1" t="s">
        <v>3568</v>
      </c>
    </row>
    <row r="341" spans="1:15" x14ac:dyDescent="0.4">
      <c r="A341" s="1" t="s">
        <v>2982</v>
      </c>
      <c r="B341" s="1" t="s">
        <v>2958</v>
      </c>
      <c r="C341" s="1" t="s">
        <v>2984</v>
      </c>
      <c r="D341" s="1" t="s">
        <v>2964</v>
      </c>
      <c r="E341" s="1" t="s">
        <v>8024</v>
      </c>
      <c r="F341" s="1" t="s">
        <v>17</v>
      </c>
      <c r="G341" s="4" t="str">
        <f>"07003-4232"</f>
        <v>07003-4232</v>
      </c>
      <c r="H341" s="1">
        <v>0</v>
      </c>
      <c r="I341" s="1">
        <v>0</v>
      </c>
      <c r="J341" s="1">
        <v>0</v>
      </c>
      <c r="K341" s="1">
        <v>60</v>
      </c>
      <c r="L341" s="1" t="s">
        <v>158</v>
      </c>
      <c r="M341" s="1" t="s">
        <v>867</v>
      </c>
      <c r="N341" s="1" t="s">
        <v>13</v>
      </c>
      <c r="O341" s="1" t="s">
        <v>2983</v>
      </c>
    </row>
    <row r="342" spans="1:15" x14ac:dyDescent="0.4">
      <c r="A342" s="1" t="s">
        <v>453</v>
      </c>
      <c r="B342" s="1" t="s">
        <v>449</v>
      </c>
      <c r="C342" s="1" t="s">
        <v>457</v>
      </c>
      <c r="D342" s="1" t="s">
        <v>452</v>
      </c>
      <c r="E342" s="1" t="s">
        <v>8018</v>
      </c>
      <c r="F342" s="1" t="s">
        <v>17</v>
      </c>
      <c r="G342" s="4" t="str">
        <f>"07627-1617"</f>
        <v>07627-1617</v>
      </c>
      <c r="H342" s="1">
        <v>0</v>
      </c>
      <c r="I342" s="1">
        <v>0</v>
      </c>
      <c r="J342" s="1">
        <v>0</v>
      </c>
      <c r="K342" s="1">
        <v>0</v>
      </c>
      <c r="L342" s="1" t="s">
        <v>454</v>
      </c>
      <c r="M342" s="1" t="s">
        <v>455</v>
      </c>
      <c r="N342" s="1" t="s">
        <v>13</v>
      </c>
      <c r="O342" s="1" t="s">
        <v>456</v>
      </c>
    </row>
    <row r="343" spans="1:15" x14ac:dyDescent="0.4">
      <c r="A343" s="1" t="s">
        <v>1667</v>
      </c>
      <c r="B343" s="1" t="s">
        <v>1666</v>
      </c>
      <c r="C343" s="1" t="s">
        <v>1670</v>
      </c>
      <c r="D343" s="1" t="s">
        <v>1671</v>
      </c>
      <c r="E343" s="1" t="s">
        <v>8019</v>
      </c>
      <c r="F343" s="1" t="s">
        <v>17</v>
      </c>
      <c r="G343" s="4" t="str">
        <f>"08015"</f>
        <v>08015</v>
      </c>
      <c r="H343" s="1">
        <v>0</v>
      </c>
      <c r="I343" s="1">
        <v>0</v>
      </c>
      <c r="J343" s="1">
        <v>0</v>
      </c>
      <c r="K343" s="1">
        <v>105</v>
      </c>
      <c r="L343" s="1" t="s">
        <v>1459</v>
      </c>
      <c r="M343" s="1" t="s">
        <v>1668</v>
      </c>
      <c r="N343" s="1" t="s">
        <v>13</v>
      </c>
      <c r="O343" s="1" t="s">
        <v>1669</v>
      </c>
    </row>
    <row r="344" spans="1:15" x14ac:dyDescent="0.4">
      <c r="A344" s="1" t="s">
        <v>8041</v>
      </c>
      <c r="B344" s="1" t="s">
        <v>6118</v>
      </c>
      <c r="C344" s="1" t="s">
        <v>6134</v>
      </c>
      <c r="D344" s="1" t="s">
        <v>5744</v>
      </c>
      <c r="E344" s="1" t="s">
        <v>1503</v>
      </c>
      <c r="F344" s="1" t="s">
        <v>17</v>
      </c>
      <c r="G344" s="4" t="str">
        <f>"07801"</f>
        <v>07801</v>
      </c>
      <c r="H344" s="1">
        <v>0</v>
      </c>
      <c r="I344" s="1">
        <v>0</v>
      </c>
      <c r="J344" s="1">
        <v>0</v>
      </c>
      <c r="K344" s="1">
        <v>58</v>
      </c>
      <c r="L344" s="1" t="s">
        <v>6131</v>
      </c>
      <c r="M344" s="1" t="s">
        <v>6132</v>
      </c>
      <c r="N344" s="1" t="s">
        <v>13</v>
      </c>
      <c r="O344" s="1" t="s">
        <v>6133</v>
      </c>
    </row>
    <row r="345" spans="1:15" x14ac:dyDescent="0.4">
      <c r="A345" s="1" t="s">
        <v>2328</v>
      </c>
      <c r="B345" s="1" t="s">
        <v>2327</v>
      </c>
      <c r="C345" s="1" t="s">
        <v>2331</v>
      </c>
      <c r="D345" s="1" t="s">
        <v>2332</v>
      </c>
      <c r="E345" s="1" t="s">
        <v>8021</v>
      </c>
      <c r="F345" s="1" t="s">
        <v>17</v>
      </c>
      <c r="G345" s="4" t="str">
        <f>"08214"</f>
        <v>08214</v>
      </c>
      <c r="H345" s="1">
        <v>0</v>
      </c>
      <c r="I345" s="1">
        <v>0</v>
      </c>
      <c r="J345" s="1">
        <v>0</v>
      </c>
      <c r="K345" s="1">
        <v>0</v>
      </c>
      <c r="L345" s="1" t="s">
        <v>1086</v>
      </c>
      <c r="M345" s="1" t="s">
        <v>2329</v>
      </c>
      <c r="N345" s="1" t="s">
        <v>13</v>
      </c>
      <c r="O345" s="1" t="s">
        <v>2330</v>
      </c>
    </row>
    <row r="346" spans="1:15" x14ac:dyDescent="0.4">
      <c r="A346" s="1" t="s">
        <v>3572</v>
      </c>
      <c r="B346" s="1" t="s">
        <v>3570</v>
      </c>
      <c r="C346" s="1" t="s">
        <v>3575</v>
      </c>
      <c r="D346" s="1" t="s">
        <v>3571</v>
      </c>
      <c r="E346" s="1" t="s">
        <v>8020</v>
      </c>
      <c r="F346" s="1" t="s">
        <v>17</v>
      </c>
      <c r="G346" s="4" t="str">
        <f>"08096-4203"</f>
        <v>08096-4203</v>
      </c>
      <c r="H346" s="1">
        <v>0</v>
      </c>
      <c r="I346" s="1">
        <v>0</v>
      </c>
      <c r="J346" s="1">
        <v>0</v>
      </c>
      <c r="K346" s="1">
        <v>0</v>
      </c>
      <c r="L346" s="1" t="s">
        <v>30</v>
      </c>
      <c r="M346" s="1" t="s">
        <v>3573</v>
      </c>
      <c r="N346" s="1" t="s">
        <v>13</v>
      </c>
      <c r="O346" s="1" t="s">
        <v>3574</v>
      </c>
    </row>
    <row r="347" spans="1:15" x14ac:dyDescent="0.4">
      <c r="A347" s="1" t="s">
        <v>3576</v>
      </c>
      <c r="B347" s="1" t="s">
        <v>3570</v>
      </c>
      <c r="C347" s="1" t="s">
        <v>3579</v>
      </c>
      <c r="D347" s="1" t="s">
        <v>3580</v>
      </c>
      <c r="E347" s="1" t="s">
        <v>8020</v>
      </c>
      <c r="F347" s="1" t="s">
        <v>17</v>
      </c>
      <c r="G347" s="4" t="str">
        <f>"08080"</f>
        <v>08080</v>
      </c>
      <c r="H347" s="1">
        <v>0</v>
      </c>
      <c r="I347" s="1">
        <v>0</v>
      </c>
      <c r="J347" s="1">
        <v>0</v>
      </c>
      <c r="K347" s="1">
        <v>0</v>
      </c>
      <c r="L347" s="1" t="s">
        <v>434</v>
      </c>
      <c r="M347" s="1" t="s">
        <v>3577</v>
      </c>
      <c r="N347" s="1" t="s">
        <v>13</v>
      </c>
      <c r="O347" s="1" t="s">
        <v>3578</v>
      </c>
    </row>
    <row r="348" spans="1:15" x14ac:dyDescent="0.4">
      <c r="A348" s="1" t="s">
        <v>7602</v>
      </c>
      <c r="B348" s="1" t="s">
        <v>7601</v>
      </c>
      <c r="C348" s="1" t="s">
        <v>7604</v>
      </c>
      <c r="D348" s="1" t="s">
        <v>7605</v>
      </c>
      <c r="E348" s="1" t="s">
        <v>7833</v>
      </c>
      <c r="F348" s="1" t="s">
        <v>17</v>
      </c>
      <c r="G348" s="4" t="str">
        <f>"07974"</f>
        <v>07974</v>
      </c>
      <c r="H348" s="1">
        <v>1</v>
      </c>
      <c r="I348" s="1">
        <v>1</v>
      </c>
      <c r="J348" s="1">
        <v>0</v>
      </c>
      <c r="K348" s="1">
        <v>2</v>
      </c>
      <c r="L348" s="1" t="s">
        <v>3032</v>
      </c>
      <c r="M348" s="1" t="s">
        <v>29</v>
      </c>
      <c r="N348" s="1" t="s">
        <v>13</v>
      </c>
      <c r="O348" s="1" t="s">
        <v>7603</v>
      </c>
    </row>
    <row r="349" spans="1:15" x14ac:dyDescent="0.4">
      <c r="A349" s="1" t="s">
        <v>7606</v>
      </c>
      <c r="B349" s="1" t="s">
        <v>7601</v>
      </c>
      <c r="C349" s="1" t="s">
        <v>7609</v>
      </c>
      <c r="D349" s="1" t="s">
        <v>2709</v>
      </c>
      <c r="E349" s="1" t="s">
        <v>7833</v>
      </c>
      <c r="F349" s="1" t="s">
        <v>17</v>
      </c>
      <c r="G349" s="4" t="str">
        <f>"07059"</f>
        <v>07059</v>
      </c>
      <c r="H349" s="1">
        <v>0</v>
      </c>
      <c r="I349" s="1">
        <v>0</v>
      </c>
      <c r="J349" s="1">
        <v>0</v>
      </c>
      <c r="K349" s="1">
        <v>0</v>
      </c>
      <c r="L349" s="1" t="s">
        <v>329</v>
      </c>
      <c r="M349" s="1" t="s">
        <v>7607</v>
      </c>
      <c r="N349" s="1" t="s">
        <v>13</v>
      </c>
      <c r="O349" s="1" t="s">
        <v>7608</v>
      </c>
    </row>
    <row r="350" spans="1:15" x14ac:dyDescent="0.4">
      <c r="A350" s="1" t="s">
        <v>7647</v>
      </c>
      <c r="B350" s="1" t="s">
        <v>7630</v>
      </c>
      <c r="C350" s="1" t="s">
        <v>7650</v>
      </c>
      <c r="D350" s="1" t="s">
        <v>2763</v>
      </c>
      <c r="E350" s="1" t="s">
        <v>7833</v>
      </c>
      <c r="F350" s="1" t="s">
        <v>17</v>
      </c>
      <c r="G350" s="4" t="str">
        <f>"07060"</f>
        <v>07060</v>
      </c>
      <c r="H350" s="1">
        <v>0</v>
      </c>
      <c r="I350" s="1">
        <v>0</v>
      </c>
      <c r="J350" s="1">
        <v>0</v>
      </c>
      <c r="K350" s="1">
        <v>74</v>
      </c>
      <c r="L350" s="1" t="s">
        <v>672</v>
      </c>
      <c r="M350" s="1" t="s">
        <v>7648</v>
      </c>
      <c r="N350" s="1" t="s">
        <v>13</v>
      </c>
      <c r="O350" s="1" t="s">
        <v>7649</v>
      </c>
    </row>
    <row r="351" spans="1:15" x14ac:dyDescent="0.4">
      <c r="A351" s="1" t="s">
        <v>2521</v>
      </c>
      <c r="B351" s="1" t="s">
        <v>2521</v>
      </c>
      <c r="C351" s="1" t="s">
        <v>2525</v>
      </c>
      <c r="D351" s="1" t="s">
        <v>2526</v>
      </c>
      <c r="E351" s="1" t="s">
        <v>8022</v>
      </c>
      <c r="F351" s="1" t="s">
        <v>17</v>
      </c>
      <c r="G351" s="4" t="str">
        <f>"07102"</f>
        <v>07102</v>
      </c>
      <c r="H351" s="1">
        <v>0</v>
      </c>
      <c r="I351" s="1">
        <v>0</v>
      </c>
      <c r="J351" s="1">
        <v>0</v>
      </c>
      <c r="K351" s="1">
        <v>0</v>
      </c>
      <c r="L351" s="1" t="s">
        <v>2522</v>
      </c>
      <c r="M351" s="1" t="s">
        <v>2523</v>
      </c>
      <c r="N351" s="1" t="s">
        <v>13</v>
      </c>
      <c r="O351" s="1" t="s">
        <v>2524</v>
      </c>
    </row>
    <row r="352" spans="1:15" x14ac:dyDescent="0.4">
      <c r="A352" s="1" t="s">
        <v>905</v>
      </c>
      <c r="B352" s="1" t="s">
        <v>904</v>
      </c>
      <c r="C352" s="1" t="s">
        <v>909</v>
      </c>
      <c r="D352" s="1" t="s">
        <v>910</v>
      </c>
      <c r="E352" s="1" t="s">
        <v>8018</v>
      </c>
      <c r="F352" s="1" t="s">
        <v>17</v>
      </c>
      <c r="G352" s="4" t="str">
        <f>"07436-2659"</f>
        <v>07436-2659</v>
      </c>
      <c r="H352" s="1">
        <v>0</v>
      </c>
      <c r="I352" s="1">
        <v>0</v>
      </c>
      <c r="J352" s="1">
        <v>0</v>
      </c>
      <c r="K352" s="1">
        <v>42</v>
      </c>
      <c r="L352" s="1" t="s">
        <v>906</v>
      </c>
      <c r="M352" s="1" t="s">
        <v>907</v>
      </c>
      <c r="N352" s="1" t="s">
        <v>13</v>
      </c>
      <c r="O352" s="1" t="s">
        <v>908</v>
      </c>
    </row>
    <row r="353" spans="1:15" x14ac:dyDescent="0.4">
      <c r="A353" s="1" t="s">
        <v>3621</v>
      </c>
      <c r="B353" s="1" t="s">
        <v>3620</v>
      </c>
      <c r="C353" s="1" t="s">
        <v>3625</v>
      </c>
      <c r="D353" s="1" t="s">
        <v>3626</v>
      </c>
      <c r="E353" s="1" t="s">
        <v>8020</v>
      </c>
      <c r="F353" s="1" t="s">
        <v>17</v>
      </c>
      <c r="G353" s="4" t="str">
        <f>"08028"</f>
        <v>08028</v>
      </c>
      <c r="H353" s="1">
        <v>0</v>
      </c>
      <c r="I353" s="1">
        <v>0</v>
      </c>
      <c r="J353" s="1">
        <v>0</v>
      </c>
      <c r="K353" s="1">
        <v>0</v>
      </c>
      <c r="L353" s="1" t="s">
        <v>3622</v>
      </c>
      <c r="M353" s="1" t="s">
        <v>3623</v>
      </c>
      <c r="N353" s="1" t="s">
        <v>13</v>
      </c>
      <c r="O353" s="1" t="s">
        <v>3624</v>
      </c>
    </row>
    <row r="354" spans="1:15" x14ac:dyDescent="0.4">
      <c r="A354" s="1" t="s">
        <v>5745</v>
      </c>
      <c r="B354" s="1" t="s">
        <v>5743</v>
      </c>
      <c r="C354" s="1" t="s">
        <v>5748</v>
      </c>
      <c r="D354" s="1" t="s">
        <v>5744</v>
      </c>
      <c r="E354" s="1" t="s">
        <v>1503</v>
      </c>
      <c r="F354" s="1" t="s">
        <v>17</v>
      </c>
      <c r="G354" s="4" t="str">
        <f>"07801-2697"</f>
        <v>07801-2697</v>
      </c>
      <c r="H354" s="1">
        <v>0</v>
      </c>
      <c r="I354" s="1">
        <v>0</v>
      </c>
      <c r="J354" s="1">
        <v>0</v>
      </c>
      <c r="K354" s="1">
        <v>0</v>
      </c>
      <c r="L354" s="1" t="s">
        <v>5746</v>
      </c>
      <c r="M354" s="1" t="s">
        <v>3967</v>
      </c>
      <c r="N354" s="1" t="s">
        <v>13</v>
      </c>
      <c r="O354" s="1" t="s">
        <v>5747</v>
      </c>
    </row>
    <row r="355" spans="1:15" x14ac:dyDescent="0.4">
      <c r="A355" s="1" t="s">
        <v>5749</v>
      </c>
      <c r="B355" s="1" t="s">
        <v>5743</v>
      </c>
      <c r="C355" s="1" t="s">
        <v>5752</v>
      </c>
      <c r="D355" s="1" t="s">
        <v>5744</v>
      </c>
      <c r="E355" s="1" t="s">
        <v>1503</v>
      </c>
      <c r="F355" s="1" t="s">
        <v>17</v>
      </c>
      <c r="G355" s="4" t="str">
        <f>"07801"</f>
        <v>07801</v>
      </c>
      <c r="H355" s="1">
        <v>0</v>
      </c>
      <c r="I355" s="1">
        <v>0</v>
      </c>
      <c r="J355" s="1">
        <v>0</v>
      </c>
      <c r="K355" s="1">
        <v>0</v>
      </c>
      <c r="L355" s="1" t="s">
        <v>158</v>
      </c>
      <c r="M355" s="1" t="s">
        <v>5750</v>
      </c>
      <c r="N355" s="1" t="s">
        <v>13</v>
      </c>
      <c r="O355" s="1" t="s">
        <v>5751</v>
      </c>
    </row>
    <row r="356" spans="1:15" x14ac:dyDescent="0.4">
      <c r="A356" s="1" t="s">
        <v>2528</v>
      </c>
      <c r="B356" s="1" t="s">
        <v>2528</v>
      </c>
      <c r="C356" s="1" t="s">
        <v>2531</v>
      </c>
      <c r="D356" s="1" t="s">
        <v>2439</v>
      </c>
      <c r="E356" s="1" t="s">
        <v>8022</v>
      </c>
      <c r="F356" s="1" t="s">
        <v>17</v>
      </c>
      <c r="G356" s="4" t="str">
        <f>"07304"</f>
        <v>07304</v>
      </c>
      <c r="H356" s="1">
        <v>0</v>
      </c>
      <c r="I356" s="1">
        <v>0</v>
      </c>
      <c r="J356" s="1">
        <v>0</v>
      </c>
      <c r="K356" s="1">
        <v>44</v>
      </c>
      <c r="L356" s="1" t="s">
        <v>34</v>
      </c>
      <c r="M356" s="1" t="s">
        <v>2529</v>
      </c>
      <c r="N356" s="1" t="s">
        <v>13</v>
      </c>
      <c r="O356" s="1" t="s">
        <v>2530</v>
      </c>
    </row>
    <row r="357" spans="1:15" x14ac:dyDescent="0.4">
      <c r="A357" s="1" t="s">
        <v>3891</v>
      </c>
      <c r="B357" s="1" t="s">
        <v>3883</v>
      </c>
      <c r="C357" s="1" t="s">
        <v>3894</v>
      </c>
      <c r="D357" s="1" t="s">
        <v>2605</v>
      </c>
      <c r="E357" s="1" t="s">
        <v>3646</v>
      </c>
      <c r="F357" s="1" t="s">
        <v>17</v>
      </c>
      <c r="G357" s="4" t="str">
        <f>"07302"</f>
        <v>07302</v>
      </c>
      <c r="H357" s="1">
        <v>0</v>
      </c>
      <c r="I357" s="1">
        <v>0</v>
      </c>
      <c r="J357" s="1">
        <v>0</v>
      </c>
      <c r="K357" s="1">
        <v>0</v>
      </c>
      <c r="L357" s="1" t="s">
        <v>40</v>
      </c>
      <c r="M357" s="1" t="s">
        <v>3892</v>
      </c>
      <c r="N357" s="1" t="s">
        <v>13</v>
      </c>
      <c r="O357" s="1" t="s">
        <v>3893</v>
      </c>
    </row>
    <row r="358" spans="1:15" x14ac:dyDescent="0.4">
      <c r="A358" s="1" t="s">
        <v>1887</v>
      </c>
      <c r="B358" s="1" t="s">
        <v>1872</v>
      </c>
      <c r="C358" s="1" t="s">
        <v>1886</v>
      </c>
      <c r="D358" s="1" t="s">
        <v>1810</v>
      </c>
      <c r="E358" s="1" t="s">
        <v>1909</v>
      </c>
      <c r="F358" s="1" t="s">
        <v>17</v>
      </c>
      <c r="G358" s="4" t="str">
        <f>"08103"</f>
        <v>08103</v>
      </c>
      <c r="H358" s="1">
        <v>0</v>
      </c>
      <c r="I358" s="1">
        <v>0</v>
      </c>
      <c r="J358" s="1">
        <v>0</v>
      </c>
      <c r="K358" s="1">
        <v>0</v>
      </c>
      <c r="L358" s="1" t="s">
        <v>1401</v>
      </c>
      <c r="M358" s="1" t="s">
        <v>1888</v>
      </c>
      <c r="N358" s="1" t="s">
        <v>13</v>
      </c>
      <c r="O358" s="1" t="s">
        <v>1889</v>
      </c>
    </row>
    <row r="359" spans="1:15" x14ac:dyDescent="0.4">
      <c r="A359" s="1" t="s">
        <v>4425</v>
      </c>
      <c r="B359" s="1" t="s">
        <v>4393</v>
      </c>
      <c r="C359" s="1" t="s">
        <v>4428</v>
      </c>
      <c r="D359" s="1" t="s">
        <v>2600</v>
      </c>
      <c r="E359" s="1" t="s">
        <v>8026</v>
      </c>
      <c r="F359" s="1" t="s">
        <v>17</v>
      </c>
      <c r="G359" s="4" t="str">
        <f>"08638"</f>
        <v>08638</v>
      </c>
      <c r="H359" s="1">
        <v>0</v>
      </c>
      <c r="I359" s="1">
        <v>0</v>
      </c>
      <c r="J359" s="1">
        <v>0</v>
      </c>
      <c r="K359" s="1">
        <v>89</v>
      </c>
      <c r="L359" s="1" t="s">
        <v>158</v>
      </c>
      <c r="M359" s="1" t="s">
        <v>4426</v>
      </c>
      <c r="N359" s="1" t="s">
        <v>13</v>
      </c>
      <c r="O359" s="1" t="s">
        <v>4427</v>
      </c>
    </row>
    <row r="360" spans="1:15" x14ac:dyDescent="0.4">
      <c r="A360" s="1" t="s">
        <v>6419</v>
      </c>
      <c r="B360" s="1" t="s">
        <v>6418</v>
      </c>
      <c r="C360" s="1" t="s">
        <v>6422</v>
      </c>
      <c r="D360" s="1" t="s">
        <v>6423</v>
      </c>
      <c r="E360" s="1" t="s">
        <v>8028</v>
      </c>
      <c r="F360" s="1" t="s">
        <v>17</v>
      </c>
      <c r="G360" s="4" t="str">
        <f>"08533-1316"</f>
        <v>08533-1316</v>
      </c>
      <c r="H360" s="1">
        <v>0</v>
      </c>
      <c r="I360" s="1">
        <v>0</v>
      </c>
      <c r="J360" s="1">
        <v>0</v>
      </c>
      <c r="K360" s="1">
        <v>0</v>
      </c>
      <c r="L360" s="1" t="s">
        <v>1639</v>
      </c>
      <c r="M360" s="1" t="s">
        <v>6420</v>
      </c>
      <c r="N360" s="1" t="s">
        <v>13</v>
      </c>
      <c r="O360" s="1" t="s">
        <v>6421</v>
      </c>
    </row>
    <row r="361" spans="1:15" x14ac:dyDescent="0.4">
      <c r="A361" s="1" t="s">
        <v>82</v>
      </c>
      <c r="B361" s="1" t="s">
        <v>69</v>
      </c>
      <c r="C361" s="1" t="s">
        <v>86</v>
      </c>
      <c r="D361" s="1" t="s">
        <v>87</v>
      </c>
      <c r="E361" s="1" t="s">
        <v>8017</v>
      </c>
      <c r="F361" s="1" t="s">
        <v>17</v>
      </c>
      <c r="G361" s="4" t="str">
        <f>"08341"</f>
        <v>08341</v>
      </c>
      <c r="H361" s="1">
        <v>0</v>
      </c>
      <c r="I361" s="1">
        <v>0</v>
      </c>
      <c r="J361" s="1">
        <v>0</v>
      </c>
      <c r="K361" s="1">
        <v>0</v>
      </c>
      <c r="L361" s="1" t="s">
        <v>83</v>
      </c>
      <c r="M361" s="1" t="s">
        <v>84</v>
      </c>
      <c r="N361" s="1" t="s">
        <v>13</v>
      </c>
      <c r="O361" s="1" t="s">
        <v>85</v>
      </c>
    </row>
    <row r="362" spans="1:15" x14ac:dyDescent="0.4">
      <c r="A362" s="1" t="s">
        <v>542</v>
      </c>
      <c r="B362" s="1" t="s">
        <v>539</v>
      </c>
      <c r="C362" s="1" t="s">
        <v>545</v>
      </c>
      <c r="D362" s="1" t="s">
        <v>546</v>
      </c>
      <c r="E362" s="1" t="s">
        <v>8018</v>
      </c>
      <c r="F362" s="1" t="s">
        <v>17</v>
      </c>
      <c r="G362" s="4" t="str">
        <f>"07631"</f>
        <v>07631</v>
      </c>
      <c r="H362" s="1">
        <v>0</v>
      </c>
      <c r="I362" s="1">
        <v>0</v>
      </c>
      <c r="J362" s="1">
        <v>0</v>
      </c>
      <c r="K362" s="1">
        <v>0</v>
      </c>
      <c r="L362" s="1" t="s">
        <v>543</v>
      </c>
      <c r="M362" s="1" t="s">
        <v>40</v>
      </c>
      <c r="N362" s="1" t="s">
        <v>13</v>
      </c>
      <c r="O362" s="1" t="s">
        <v>544</v>
      </c>
    </row>
    <row r="363" spans="1:15" x14ac:dyDescent="0.4">
      <c r="A363" s="1" t="s">
        <v>112</v>
      </c>
      <c r="B363" s="1" t="s">
        <v>98</v>
      </c>
      <c r="C363" s="1" t="s">
        <v>115</v>
      </c>
      <c r="D363" s="1" t="s">
        <v>104</v>
      </c>
      <c r="E363" s="1" t="s">
        <v>8017</v>
      </c>
      <c r="F363" s="1" t="s">
        <v>17</v>
      </c>
      <c r="G363" s="4" t="str">
        <f>"08234"</f>
        <v>08234</v>
      </c>
      <c r="H363" s="1">
        <v>0</v>
      </c>
      <c r="I363" s="1">
        <v>0</v>
      </c>
      <c r="J363" s="1">
        <v>0</v>
      </c>
      <c r="K363" s="1">
        <v>0</v>
      </c>
      <c r="L363" s="1" t="s">
        <v>34</v>
      </c>
      <c r="M363" s="1" t="s">
        <v>113</v>
      </c>
      <c r="N363" s="1" t="s">
        <v>13</v>
      </c>
      <c r="O363" s="1" t="s">
        <v>114</v>
      </c>
    </row>
    <row r="364" spans="1:15" x14ac:dyDescent="0.4">
      <c r="A364" s="1" t="s">
        <v>547</v>
      </c>
      <c r="B364" s="1" t="s">
        <v>539</v>
      </c>
      <c r="C364" s="1" t="s">
        <v>551</v>
      </c>
      <c r="D364" s="1" t="s">
        <v>540</v>
      </c>
      <c r="E364" s="1" t="s">
        <v>8018</v>
      </c>
      <c r="F364" s="1" t="s">
        <v>17</v>
      </c>
      <c r="G364" s="4" t="str">
        <f>"07631-1742"</f>
        <v>07631-1742</v>
      </c>
      <c r="H364" s="1">
        <v>0</v>
      </c>
      <c r="I364" s="1">
        <v>0</v>
      </c>
      <c r="J364" s="1">
        <v>0</v>
      </c>
      <c r="K364" s="1">
        <v>0</v>
      </c>
      <c r="L364" s="1" t="s">
        <v>548</v>
      </c>
      <c r="M364" s="1" t="s">
        <v>549</v>
      </c>
      <c r="N364" s="1" t="s">
        <v>241</v>
      </c>
      <c r="O364" s="1" t="s">
        <v>550</v>
      </c>
    </row>
    <row r="365" spans="1:15" x14ac:dyDescent="0.4">
      <c r="A365" s="1" t="s">
        <v>4429</v>
      </c>
      <c r="B365" s="1" t="s">
        <v>4393</v>
      </c>
      <c r="C365" s="1" t="s">
        <v>4432</v>
      </c>
      <c r="D365" s="1" t="s">
        <v>2427</v>
      </c>
      <c r="E365" s="1" t="s">
        <v>8026</v>
      </c>
      <c r="F365" s="1" t="s">
        <v>17</v>
      </c>
      <c r="G365" s="4" t="str">
        <f>"08638"</f>
        <v>08638</v>
      </c>
      <c r="H365" s="1">
        <v>0</v>
      </c>
      <c r="I365" s="1">
        <v>0</v>
      </c>
      <c r="J365" s="1">
        <v>0</v>
      </c>
      <c r="K365" s="1">
        <v>0</v>
      </c>
      <c r="L365" s="1" t="s">
        <v>346</v>
      </c>
      <c r="M365" s="1" t="s">
        <v>4430</v>
      </c>
      <c r="N365" s="1" t="s">
        <v>13</v>
      </c>
      <c r="O365" s="1" t="s">
        <v>4431</v>
      </c>
    </row>
    <row r="366" spans="1:15" x14ac:dyDescent="0.4">
      <c r="A366" s="1" t="s">
        <v>8052</v>
      </c>
      <c r="B366" s="1" t="s">
        <v>5134</v>
      </c>
      <c r="C366" s="1" t="s">
        <v>5145</v>
      </c>
      <c r="D366" s="1" t="s">
        <v>2588</v>
      </c>
      <c r="E366" s="1" t="s">
        <v>8027</v>
      </c>
      <c r="F366" s="1" t="s">
        <v>17</v>
      </c>
      <c r="G366" s="4" t="str">
        <f>"07712-6314"</f>
        <v>07712-6314</v>
      </c>
      <c r="H366" s="1">
        <v>0</v>
      </c>
      <c r="I366" s="1">
        <v>0</v>
      </c>
      <c r="J366" s="1">
        <v>0</v>
      </c>
      <c r="K366" s="1">
        <v>0</v>
      </c>
      <c r="L366" s="1" t="s">
        <v>5142</v>
      </c>
      <c r="M366" s="1" t="s">
        <v>5143</v>
      </c>
      <c r="N366" s="1" t="s">
        <v>13</v>
      </c>
      <c r="O366" s="1" t="s">
        <v>5144</v>
      </c>
    </row>
    <row r="367" spans="1:15" x14ac:dyDescent="0.4">
      <c r="A367" s="1" t="s">
        <v>2889</v>
      </c>
      <c r="B367" s="1" t="s">
        <v>2878</v>
      </c>
      <c r="C367" s="1" t="s">
        <v>2892</v>
      </c>
      <c r="D367" s="1" t="s">
        <v>2796</v>
      </c>
      <c r="E367" s="1" t="s">
        <v>8023</v>
      </c>
      <c r="F367" s="1" t="s">
        <v>17</v>
      </c>
      <c r="G367" s="4" t="str">
        <f>"08360-7107"</f>
        <v>08360-7107</v>
      </c>
      <c r="H367" s="1">
        <v>0</v>
      </c>
      <c r="I367" s="1">
        <v>0</v>
      </c>
      <c r="J367" s="1">
        <v>0</v>
      </c>
      <c r="K367" s="1">
        <v>83</v>
      </c>
      <c r="L367" s="1" t="s">
        <v>170</v>
      </c>
      <c r="M367" s="1" t="s">
        <v>2890</v>
      </c>
      <c r="N367" s="1" t="s">
        <v>13</v>
      </c>
      <c r="O367" s="1" t="s">
        <v>2891</v>
      </c>
    </row>
    <row r="368" spans="1:15" x14ac:dyDescent="0.4">
      <c r="A368" s="1" t="s">
        <v>6252</v>
      </c>
      <c r="B368" s="1" t="s">
        <v>6241</v>
      </c>
      <c r="C368" s="1" t="s">
        <v>6255</v>
      </c>
      <c r="D368" s="1" t="s">
        <v>6246</v>
      </c>
      <c r="E368" s="1" t="s">
        <v>8028</v>
      </c>
      <c r="F368" s="1" t="s">
        <v>17</v>
      </c>
      <c r="G368" s="4" t="str">
        <f>"08723-6021"</f>
        <v>08723-6021</v>
      </c>
      <c r="H368" s="1">
        <v>0</v>
      </c>
      <c r="I368" s="1">
        <v>0</v>
      </c>
      <c r="J368" s="1">
        <v>0</v>
      </c>
      <c r="K368" s="1">
        <v>68</v>
      </c>
      <c r="L368" s="1" t="s">
        <v>329</v>
      </c>
      <c r="M368" s="1" t="s">
        <v>6253</v>
      </c>
      <c r="N368" s="1" t="s">
        <v>1183</v>
      </c>
      <c r="O368" s="1" t="s">
        <v>6254</v>
      </c>
    </row>
    <row r="369" spans="1:15" x14ac:dyDescent="0.4">
      <c r="A369" s="1" t="s">
        <v>4862</v>
      </c>
      <c r="B369" s="1" t="s">
        <v>4858</v>
      </c>
      <c r="C369" s="1" t="s">
        <v>4865</v>
      </c>
      <c r="D369" s="1" t="s">
        <v>4866</v>
      </c>
      <c r="E369" s="1" t="s">
        <v>4704</v>
      </c>
      <c r="F369" s="1" t="s">
        <v>17</v>
      </c>
      <c r="G369" s="4" t="str">
        <f>"08863"</f>
        <v>08863</v>
      </c>
      <c r="H369" s="1">
        <v>0</v>
      </c>
      <c r="I369" s="1">
        <v>0</v>
      </c>
      <c r="J369" s="1">
        <v>0</v>
      </c>
      <c r="K369" s="1">
        <v>0</v>
      </c>
      <c r="L369" s="1" t="s">
        <v>483</v>
      </c>
      <c r="M369" s="1" t="s">
        <v>4863</v>
      </c>
      <c r="N369" s="1" t="s">
        <v>13</v>
      </c>
      <c r="O369" s="1" t="s">
        <v>4864</v>
      </c>
    </row>
    <row r="370" spans="1:15" x14ac:dyDescent="0.4">
      <c r="A370" s="1" t="s">
        <v>461</v>
      </c>
      <c r="B370" s="1" t="s">
        <v>460</v>
      </c>
      <c r="C370" s="1" t="s">
        <v>464</v>
      </c>
      <c r="D370" s="1" t="s">
        <v>465</v>
      </c>
      <c r="E370" s="1" t="s">
        <v>8018</v>
      </c>
      <c r="F370" s="1" t="s">
        <v>17</v>
      </c>
      <c r="G370" s="4" t="str">
        <f>"07628-2913"</f>
        <v>07628-2913</v>
      </c>
      <c r="H370" s="1">
        <v>0</v>
      </c>
      <c r="I370" s="1">
        <v>0</v>
      </c>
      <c r="J370" s="1">
        <v>0</v>
      </c>
      <c r="K370" s="1">
        <v>0</v>
      </c>
      <c r="L370" s="1" t="s">
        <v>34</v>
      </c>
      <c r="M370" s="1" t="s">
        <v>462</v>
      </c>
      <c r="N370" s="1" t="s">
        <v>13</v>
      </c>
      <c r="O370" s="1" t="s">
        <v>463</v>
      </c>
    </row>
    <row r="371" spans="1:15" x14ac:dyDescent="0.4">
      <c r="A371" s="1" t="s">
        <v>4538</v>
      </c>
      <c r="B371" s="1" t="s">
        <v>4537</v>
      </c>
      <c r="C371" s="1" t="s">
        <v>4540</v>
      </c>
      <c r="D371" s="1" t="s">
        <v>4541</v>
      </c>
      <c r="E371" s="1" t="s">
        <v>4704</v>
      </c>
      <c r="F371" s="1" t="s">
        <v>17</v>
      </c>
      <c r="G371" s="4" t="str">
        <f>"08812"</f>
        <v>08812</v>
      </c>
      <c r="H371" s="1">
        <v>0</v>
      </c>
      <c r="I371" s="1">
        <v>0</v>
      </c>
      <c r="J371" s="1">
        <v>0</v>
      </c>
      <c r="K371" s="1">
        <v>0</v>
      </c>
      <c r="L371" s="1" t="s">
        <v>563</v>
      </c>
      <c r="M371" s="1" t="s">
        <v>347</v>
      </c>
      <c r="N371" s="1" t="s">
        <v>13</v>
      </c>
      <c r="O371" s="1" t="s">
        <v>4539</v>
      </c>
    </row>
    <row r="372" spans="1:15" x14ac:dyDescent="0.4">
      <c r="A372" s="1" t="s">
        <v>4489</v>
      </c>
      <c r="B372" s="1" t="s">
        <v>4483</v>
      </c>
      <c r="C372" s="1" t="s">
        <v>4492</v>
      </c>
      <c r="D372" s="1" t="s">
        <v>4493</v>
      </c>
      <c r="E372" s="1" t="s">
        <v>8026</v>
      </c>
      <c r="F372" s="1" t="s">
        <v>17</v>
      </c>
      <c r="G372" s="4" t="str">
        <f>"08550"</f>
        <v>08550</v>
      </c>
      <c r="H372" s="1">
        <v>0</v>
      </c>
      <c r="I372" s="1">
        <v>0</v>
      </c>
      <c r="J372" s="1">
        <v>0</v>
      </c>
      <c r="K372" s="1">
        <v>70</v>
      </c>
      <c r="L372" s="1" t="s">
        <v>128</v>
      </c>
      <c r="M372" s="1" t="s">
        <v>4490</v>
      </c>
      <c r="N372" s="1" t="s">
        <v>13</v>
      </c>
      <c r="O372" s="1" t="s">
        <v>4491</v>
      </c>
    </row>
    <row r="373" spans="1:15" x14ac:dyDescent="0.4">
      <c r="A373" s="1" t="s">
        <v>1851</v>
      </c>
      <c r="B373" s="1" t="s">
        <v>1850</v>
      </c>
      <c r="C373" s="1" t="s">
        <v>1853</v>
      </c>
      <c r="D373" s="1" t="s">
        <v>1854</v>
      </c>
      <c r="E373" s="1" t="s">
        <v>1909</v>
      </c>
      <c r="F373" s="1" t="s">
        <v>17</v>
      </c>
      <c r="G373" s="4" t="str">
        <f>"08091"</f>
        <v>08091</v>
      </c>
      <c r="H373" s="1">
        <v>0</v>
      </c>
      <c r="I373" s="1">
        <v>0</v>
      </c>
      <c r="J373" s="1">
        <v>0</v>
      </c>
      <c r="K373" s="1">
        <v>0</v>
      </c>
      <c r="L373" s="1" t="s">
        <v>1371</v>
      </c>
      <c r="M373" s="1" t="s">
        <v>1797</v>
      </c>
      <c r="N373" s="1" t="s">
        <v>13</v>
      </c>
      <c r="O373" s="1" t="s">
        <v>1852</v>
      </c>
    </row>
    <row r="374" spans="1:15" x14ac:dyDescent="0.4">
      <c r="A374" s="1" t="s">
        <v>4909</v>
      </c>
      <c r="B374" s="1" t="s">
        <v>4900</v>
      </c>
      <c r="C374" s="1" t="s">
        <v>4912</v>
      </c>
      <c r="D374" s="1" t="s">
        <v>4631</v>
      </c>
      <c r="E374" s="1" t="s">
        <v>4704</v>
      </c>
      <c r="F374" s="1" t="s">
        <v>17</v>
      </c>
      <c r="G374" s="4" t="str">
        <f>"08854"</f>
        <v>08854</v>
      </c>
      <c r="H374" s="1">
        <v>0</v>
      </c>
      <c r="I374" s="1">
        <v>0</v>
      </c>
      <c r="J374" s="1">
        <v>0</v>
      </c>
      <c r="K374" s="1">
        <v>138</v>
      </c>
      <c r="L374" s="1" t="s">
        <v>721</v>
      </c>
      <c r="M374" s="1" t="s">
        <v>4910</v>
      </c>
      <c r="N374" s="1" t="s">
        <v>13</v>
      </c>
      <c r="O374" s="1" t="s">
        <v>4911</v>
      </c>
    </row>
    <row r="375" spans="1:15" x14ac:dyDescent="0.4">
      <c r="A375" s="1" t="s">
        <v>4909</v>
      </c>
      <c r="B375" s="1" t="s">
        <v>4939</v>
      </c>
      <c r="C375" s="1" t="s">
        <v>4942</v>
      </c>
      <c r="D375" s="1" t="s">
        <v>4632</v>
      </c>
      <c r="E375" s="1" t="s">
        <v>4704</v>
      </c>
      <c r="F375" s="1" t="s">
        <v>17</v>
      </c>
      <c r="G375" s="4" t="str">
        <f>"08859-2126"</f>
        <v>08859-2126</v>
      </c>
      <c r="H375" s="1">
        <v>0</v>
      </c>
      <c r="I375" s="1">
        <v>0</v>
      </c>
      <c r="J375" s="1">
        <v>0</v>
      </c>
      <c r="K375" s="1">
        <v>138</v>
      </c>
      <c r="L375" s="1" t="s">
        <v>1508</v>
      </c>
      <c r="M375" s="1" t="s">
        <v>4940</v>
      </c>
      <c r="N375" s="1" t="s">
        <v>13</v>
      </c>
      <c r="O375" s="1" t="s">
        <v>4941</v>
      </c>
    </row>
    <row r="376" spans="1:15" x14ac:dyDescent="0.4">
      <c r="A376" s="1" t="s">
        <v>1337</v>
      </c>
      <c r="B376" s="1" t="s">
        <v>1327</v>
      </c>
      <c r="C376" s="1" t="s">
        <v>1340</v>
      </c>
      <c r="D376" s="1" t="s">
        <v>1331</v>
      </c>
      <c r="E376" s="1" t="s">
        <v>8018</v>
      </c>
      <c r="F376" s="1" t="s">
        <v>17</v>
      </c>
      <c r="G376" s="4" t="str">
        <f>"07481-2227"</f>
        <v>07481-2227</v>
      </c>
      <c r="H376" s="1">
        <v>0</v>
      </c>
      <c r="I376" s="1">
        <v>0</v>
      </c>
      <c r="J376" s="1">
        <v>0</v>
      </c>
      <c r="K376" s="1">
        <v>0</v>
      </c>
      <c r="L376" s="1" t="s">
        <v>50</v>
      </c>
      <c r="M376" s="1" t="s">
        <v>1338</v>
      </c>
      <c r="N376" s="1" t="s">
        <v>13</v>
      </c>
      <c r="O376" s="1" t="s">
        <v>1339</v>
      </c>
    </row>
    <row r="377" spans="1:15" x14ac:dyDescent="0.4">
      <c r="A377" s="1" t="s">
        <v>5235</v>
      </c>
      <c r="B377" s="1" t="s">
        <v>5225</v>
      </c>
      <c r="C377" s="1" t="s">
        <v>5238</v>
      </c>
      <c r="D377" s="1" t="s">
        <v>5198</v>
      </c>
      <c r="E377" s="1" t="s">
        <v>8027</v>
      </c>
      <c r="F377" s="1" t="s">
        <v>17</v>
      </c>
      <c r="G377" s="4" t="str">
        <f>"07728-1599"</f>
        <v>07728-1599</v>
      </c>
      <c r="H377" s="1">
        <v>0</v>
      </c>
      <c r="I377" s="1">
        <v>0</v>
      </c>
      <c r="J377" s="1">
        <v>0</v>
      </c>
      <c r="K377" s="1">
        <v>0</v>
      </c>
      <c r="L377" s="1" t="s">
        <v>199</v>
      </c>
      <c r="M377" s="1" t="s">
        <v>5236</v>
      </c>
      <c r="N377" s="1" t="s">
        <v>13</v>
      </c>
      <c r="O377" s="1" t="s">
        <v>5237</v>
      </c>
    </row>
    <row r="378" spans="1:15" x14ac:dyDescent="0.4">
      <c r="A378" s="1" t="s">
        <v>552</v>
      </c>
      <c r="B378" s="1" t="s">
        <v>539</v>
      </c>
      <c r="C378" s="1" t="s">
        <v>556</v>
      </c>
      <c r="D378" s="1" t="s">
        <v>540</v>
      </c>
      <c r="E378" s="1" t="s">
        <v>8018</v>
      </c>
      <c r="F378" s="1" t="s">
        <v>17</v>
      </c>
      <c r="G378" s="4" t="str">
        <f>"07631-1534"</f>
        <v>07631-1534</v>
      </c>
      <c r="H378" s="1">
        <v>0</v>
      </c>
      <c r="I378" s="1">
        <v>0</v>
      </c>
      <c r="J378" s="1">
        <v>0</v>
      </c>
      <c r="K378" s="1">
        <v>0</v>
      </c>
      <c r="L378" s="1" t="s">
        <v>553</v>
      </c>
      <c r="M378" s="1" t="s">
        <v>554</v>
      </c>
      <c r="N378" s="1" t="s">
        <v>13</v>
      </c>
      <c r="O378" s="1" t="s">
        <v>555</v>
      </c>
    </row>
    <row r="379" spans="1:15" x14ac:dyDescent="0.4">
      <c r="A379" s="1" t="s">
        <v>5032</v>
      </c>
      <c r="B379" s="1" t="s">
        <v>5031</v>
      </c>
      <c r="C379" s="1" t="s">
        <v>5035</v>
      </c>
      <c r="D379" s="1" t="s">
        <v>5036</v>
      </c>
      <c r="E379" s="1" t="s">
        <v>4704</v>
      </c>
      <c r="F379" s="1" t="s">
        <v>17</v>
      </c>
      <c r="G379" s="4" t="str">
        <f>"08884"</f>
        <v>08884</v>
      </c>
      <c r="H379" s="1">
        <v>0</v>
      </c>
      <c r="I379" s="1">
        <v>0</v>
      </c>
      <c r="J379" s="1">
        <v>0</v>
      </c>
      <c r="K379" s="1">
        <v>0</v>
      </c>
      <c r="L379" s="1" t="s">
        <v>327</v>
      </c>
      <c r="M379" s="1" t="s">
        <v>5033</v>
      </c>
      <c r="N379" s="1" t="s">
        <v>13</v>
      </c>
      <c r="O379" s="1" t="s">
        <v>5034</v>
      </c>
    </row>
    <row r="380" spans="1:15" x14ac:dyDescent="0.4">
      <c r="A380" s="1" t="s">
        <v>3280</v>
      </c>
      <c r="B380" s="1" t="s">
        <v>3249</v>
      </c>
      <c r="C380" s="1" t="s">
        <v>3284</v>
      </c>
      <c r="D380" s="1" t="s">
        <v>2153</v>
      </c>
      <c r="E380" s="1" t="s">
        <v>8024</v>
      </c>
      <c r="F380" s="1" t="s">
        <v>17</v>
      </c>
      <c r="G380" s="4" t="str">
        <f>"07112"</f>
        <v>07112</v>
      </c>
      <c r="H380" s="1">
        <v>0</v>
      </c>
      <c r="I380" s="1">
        <v>0</v>
      </c>
      <c r="J380" s="1">
        <v>0</v>
      </c>
      <c r="K380" s="1">
        <v>0</v>
      </c>
      <c r="L380" s="1" t="s">
        <v>3281</v>
      </c>
      <c r="M380" s="1" t="s">
        <v>3282</v>
      </c>
      <c r="N380" s="1" t="s">
        <v>13</v>
      </c>
      <c r="O380" s="1" t="s">
        <v>3283</v>
      </c>
    </row>
    <row r="381" spans="1:15" x14ac:dyDescent="0.4">
      <c r="A381" s="1" t="s">
        <v>980</v>
      </c>
      <c r="B381" s="1" t="s">
        <v>979</v>
      </c>
      <c r="C381" s="1" t="s">
        <v>983</v>
      </c>
      <c r="D381" s="1" t="s">
        <v>984</v>
      </c>
      <c r="E381" s="1" t="s">
        <v>8018</v>
      </c>
      <c r="F381" s="1" t="s">
        <v>17</v>
      </c>
      <c r="G381" s="4" t="str">
        <f>"07656"</f>
        <v>07656</v>
      </c>
      <c r="H381" s="1">
        <v>0</v>
      </c>
      <c r="I381" s="1">
        <v>0</v>
      </c>
      <c r="J381" s="1">
        <v>0</v>
      </c>
      <c r="K381" s="1">
        <v>29</v>
      </c>
      <c r="L381" s="1" t="s">
        <v>11</v>
      </c>
      <c r="M381" s="1" t="s">
        <v>981</v>
      </c>
      <c r="N381" s="1" t="s">
        <v>13</v>
      </c>
      <c r="O381" s="1" t="s">
        <v>982</v>
      </c>
    </row>
    <row r="382" spans="1:15" x14ac:dyDescent="0.4">
      <c r="A382" s="1" t="s">
        <v>955</v>
      </c>
      <c r="B382" s="1" t="s">
        <v>954</v>
      </c>
      <c r="C382" s="1" t="s">
        <v>958</v>
      </c>
      <c r="D382" s="1" t="s">
        <v>314</v>
      </c>
      <c r="E382" s="1" t="s">
        <v>8018</v>
      </c>
      <c r="F382" s="1" t="s">
        <v>17</v>
      </c>
      <c r="G382" s="4" t="str">
        <f>"07652-5342"</f>
        <v>07652-5342</v>
      </c>
      <c r="H382" s="1">
        <v>0</v>
      </c>
      <c r="I382" s="1">
        <v>0</v>
      </c>
      <c r="J382" s="1">
        <v>0</v>
      </c>
      <c r="K382" s="1">
        <v>0</v>
      </c>
      <c r="L382" s="1" t="s">
        <v>42</v>
      </c>
      <c r="M382" s="1" t="s">
        <v>956</v>
      </c>
      <c r="N382" s="1" t="s">
        <v>13</v>
      </c>
      <c r="O382" s="1" t="s">
        <v>957</v>
      </c>
    </row>
    <row r="383" spans="1:15" x14ac:dyDescent="0.4">
      <c r="A383" s="1" t="s">
        <v>4554</v>
      </c>
      <c r="B383" s="1" t="s">
        <v>4545</v>
      </c>
      <c r="C383" s="1" t="s">
        <v>4557</v>
      </c>
      <c r="D383" s="1" t="s">
        <v>4546</v>
      </c>
      <c r="E383" s="1" t="s">
        <v>4704</v>
      </c>
      <c r="F383" s="1" t="s">
        <v>17</v>
      </c>
      <c r="G383" s="4" t="str">
        <f>"08816"</f>
        <v>08816</v>
      </c>
      <c r="H383" s="1">
        <v>0</v>
      </c>
      <c r="I383" s="1">
        <v>0</v>
      </c>
      <c r="J383" s="1">
        <v>0</v>
      </c>
      <c r="K383" s="1">
        <v>0</v>
      </c>
      <c r="L383" s="1" t="s">
        <v>685</v>
      </c>
      <c r="M383" s="1" t="s">
        <v>4555</v>
      </c>
      <c r="N383" s="1" t="s">
        <v>13</v>
      </c>
      <c r="O383" s="1" t="s">
        <v>4556</v>
      </c>
    </row>
    <row r="384" spans="1:15" x14ac:dyDescent="0.4">
      <c r="A384" s="1" t="s">
        <v>4706</v>
      </c>
      <c r="B384" s="1" t="s">
        <v>4705</v>
      </c>
      <c r="C384" s="1" t="s">
        <v>4709</v>
      </c>
      <c r="D384" s="1" t="s">
        <v>4546</v>
      </c>
      <c r="E384" s="1" t="s">
        <v>4704</v>
      </c>
      <c r="F384" s="1" t="s">
        <v>17</v>
      </c>
      <c r="G384" s="4" t="str">
        <f>"08816-4235"</f>
        <v>08816-4235</v>
      </c>
      <c r="H384" s="1">
        <v>0</v>
      </c>
      <c r="I384" s="1">
        <v>0</v>
      </c>
      <c r="J384" s="1">
        <v>0</v>
      </c>
      <c r="K384" s="1">
        <v>0</v>
      </c>
      <c r="L384" s="1" t="s">
        <v>158</v>
      </c>
      <c r="M384" s="1" t="s">
        <v>4707</v>
      </c>
      <c r="N384" s="1" t="s">
        <v>13</v>
      </c>
      <c r="O384" s="1" t="s">
        <v>4708</v>
      </c>
    </row>
    <row r="385" spans="1:15" x14ac:dyDescent="0.4">
      <c r="A385" s="1" t="s">
        <v>5758</v>
      </c>
      <c r="B385" s="1" t="s">
        <v>5753</v>
      </c>
      <c r="C385" s="1" t="s">
        <v>5761</v>
      </c>
      <c r="D385" s="1" t="s">
        <v>5757</v>
      </c>
      <c r="E385" s="1" t="s">
        <v>1503</v>
      </c>
      <c r="F385" s="1" t="s">
        <v>17</v>
      </c>
      <c r="G385" s="4" t="str">
        <f>"07936-3094"</f>
        <v>07936-3094</v>
      </c>
      <c r="H385" s="1">
        <v>0</v>
      </c>
      <c r="I385" s="1">
        <v>0</v>
      </c>
      <c r="J385" s="1">
        <v>0</v>
      </c>
      <c r="K385" s="1">
        <v>0</v>
      </c>
      <c r="L385" s="1" t="s">
        <v>5156</v>
      </c>
      <c r="M385" s="1" t="s">
        <v>5759</v>
      </c>
      <c r="N385" s="1" t="s">
        <v>13</v>
      </c>
      <c r="O385" s="1" t="s">
        <v>5760</v>
      </c>
    </row>
    <row r="386" spans="1:15" x14ac:dyDescent="0.4">
      <c r="A386" s="1" t="s">
        <v>3819</v>
      </c>
      <c r="B386" s="1" t="s">
        <v>3818</v>
      </c>
      <c r="C386" s="1" t="s">
        <v>3823</v>
      </c>
      <c r="D386" s="1" t="s">
        <v>3824</v>
      </c>
      <c r="E386" s="1" t="s">
        <v>3646</v>
      </c>
      <c r="F386" s="1" t="s">
        <v>17</v>
      </c>
      <c r="G386" s="4" t="str">
        <f>"07029"</f>
        <v>07029</v>
      </c>
      <c r="H386" s="1">
        <v>0</v>
      </c>
      <c r="I386" s="1">
        <v>0</v>
      </c>
      <c r="J386" s="1">
        <v>0</v>
      </c>
      <c r="K386" s="1">
        <v>19</v>
      </c>
      <c r="L386" s="1" t="s">
        <v>3820</v>
      </c>
      <c r="M386" s="1" t="s">
        <v>3821</v>
      </c>
      <c r="N386" s="1" t="s">
        <v>13</v>
      </c>
      <c r="O386" s="1" t="s">
        <v>3822</v>
      </c>
    </row>
    <row r="387" spans="1:15" x14ac:dyDescent="0.4">
      <c r="A387" s="1" t="s">
        <v>3037</v>
      </c>
      <c r="B387" s="1" t="s">
        <v>3031</v>
      </c>
      <c r="C387" s="1" t="s">
        <v>3040</v>
      </c>
      <c r="D387" s="1" t="s">
        <v>2536</v>
      </c>
      <c r="E387" s="1" t="s">
        <v>8024</v>
      </c>
      <c r="F387" s="1" t="s">
        <v>17</v>
      </c>
      <c r="G387" s="4" t="str">
        <f>"07017"</f>
        <v>07017</v>
      </c>
      <c r="H387" s="1">
        <v>0</v>
      </c>
      <c r="I387" s="1">
        <v>0</v>
      </c>
      <c r="J387" s="1">
        <v>0</v>
      </c>
      <c r="K387" s="1">
        <v>0</v>
      </c>
      <c r="L387" s="1" t="s">
        <v>3038</v>
      </c>
      <c r="M387" s="1" t="s">
        <v>717</v>
      </c>
      <c r="N387" s="1" t="s">
        <v>13</v>
      </c>
      <c r="O387" s="1" t="s">
        <v>3039</v>
      </c>
    </row>
    <row r="388" spans="1:15" x14ac:dyDescent="0.4">
      <c r="A388" s="1" t="s">
        <v>2532</v>
      </c>
      <c r="B388" s="1" t="s">
        <v>2532</v>
      </c>
      <c r="C388" s="1" t="s">
        <v>2535</v>
      </c>
      <c r="D388" s="1" t="s">
        <v>2536</v>
      </c>
      <c r="E388" s="1" t="s">
        <v>8022</v>
      </c>
      <c r="F388" s="1" t="s">
        <v>17</v>
      </c>
      <c r="G388" s="4" t="str">
        <f>"07017"</f>
        <v>07017</v>
      </c>
      <c r="H388" s="1">
        <v>0</v>
      </c>
      <c r="I388" s="1">
        <v>0</v>
      </c>
      <c r="J388" s="1">
        <v>0</v>
      </c>
      <c r="K388" s="1">
        <v>90</v>
      </c>
      <c r="L388" s="1" t="s">
        <v>105</v>
      </c>
      <c r="M388" s="1" t="s">
        <v>2533</v>
      </c>
      <c r="N388" s="1" t="s">
        <v>13</v>
      </c>
      <c r="O388" s="1" t="s">
        <v>2534</v>
      </c>
    </row>
    <row r="389" spans="1:15" x14ac:dyDescent="0.4">
      <c r="A389" s="1" t="s">
        <v>3041</v>
      </c>
      <c r="B389" s="1" t="s">
        <v>3031</v>
      </c>
      <c r="C389" s="1" t="s">
        <v>3044</v>
      </c>
      <c r="D389" s="1" t="s">
        <v>2536</v>
      </c>
      <c r="E389" s="1" t="s">
        <v>8024</v>
      </c>
      <c r="F389" s="1" t="s">
        <v>17</v>
      </c>
      <c r="G389" s="4" t="str">
        <f>"07017-3308"</f>
        <v>07017-3308</v>
      </c>
      <c r="H389" s="1">
        <v>0</v>
      </c>
      <c r="I389" s="1">
        <v>0</v>
      </c>
      <c r="J389" s="1">
        <v>0</v>
      </c>
      <c r="K389" s="1">
        <v>0</v>
      </c>
      <c r="L389" s="1" t="s">
        <v>162</v>
      </c>
      <c r="M389" s="1" t="s">
        <v>3042</v>
      </c>
      <c r="N389" s="1" t="s">
        <v>13</v>
      </c>
      <c r="O389" s="1" t="s">
        <v>3043</v>
      </c>
    </row>
    <row r="390" spans="1:15" x14ac:dyDescent="0.4">
      <c r="A390" s="1" t="s">
        <v>3286</v>
      </c>
      <c r="B390" s="1" t="s">
        <v>3249</v>
      </c>
      <c r="C390" s="1" t="s">
        <v>3288</v>
      </c>
      <c r="D390" s="1" t="s">
        <v>2526</v>
      </c>
      <c r="E390" s="1" t="s">
        <v>8024</v>
      </c>
      <c r="F390" s="1" t="s">
        <v>17</v>
      </c>
      <c r="G390" s="4" t="str">
        <f>"07105-2512"</f>
        <v>07105-2512</v>
      </c>
      <c r="H390" s="1">
        <v>0</v>
      </c>
      <c r="I390" s="1">
        <v>0</v>
      </c>
      <c r="J390" s="1">
        <v>0</v>
      </c>
      <c r="K390" s="1">
        <v>0</v>
      </c>
      <c r="L390" s="1" t="s">
        <v>2610</v>
      </c>
      <c r="M390" s="1" t="s">
        <v>876</v>
      </c>
      <c r="N390" s="1" t="s">
        <v>13</v>
      </c>
      <c r="O390" s="1" t="s">
        <v>3287</v>
      </c>
    </row>
    <row r="391" spans="1:15" x14ac:dyDescent="0.4">
      <c r="A391" s="1" t="s">
        <v>2031</v>
      </c>
      <c r="B391" s="1" t="s">
        <v>2030</v>
      </c>
      <c r="C391" s="1" t="s">
        <v>2034</v>
      </c>
      <c r="D391" s="1" t="s">
        <v>2035</v>
      </c>
      <c r="E391" s="1" t="s">
        <v>1909</v>
      </c>
      <c r="F391" s="1" t="s">
        <v>17</v>
      </c>
      <c r="G391" s="4" t="str">
        <f>"08043-0995"</f>
        <v>08043-0995</v>
      </c>
      <c r="H391" s="1">
        <v>0</v>
      </c>
      <c r="I391" s="1">
        <v>0</v>
      </c>
      <c r="J391" s="1">
        <v>0</v>
      </c>
      <c r="K391" s="1">
        <v>0</v>
      </c>
      <c r="L391" s="1" t="s">
        <v>2032</v>
      </c>
      <c r="M391" s="1" t="s">
        <v>494</v>
      </c>
      <c r="N391" s="1" t="s">
        <v>13</v>
      </c>
      <c r="O391" s="1" t="s">
        <v>2033</v>
      </c>
    </row>
    <row r="392" spans="1:15" x14ac:dyDescent="0.4">
      <c r="A392" s="1" t="s">
        <v>1891</v>
      </c>
      <c r="B392" s="1" t="s">
        <v>1872</v>
      </c>
      <c r="C392" s="1" t="s">
        <v>1895</v>
      </c>
      <c r="D392" s="1" t="s">
        <v>1810</v>
      </c>
      <c r="E392" s="1" t="s">
        <v>1909</v>
      </c>
      <c r="F392" s="1" t="s">
        <v>17</v>
      </c>
      <c r="G392" s="4" t="str">
        <f>"08105"</f>
        <v>08105</v>
      </c>
      <c r="H392" s="1">
        <v>0</v>
      </c>
      <c r="I392" s="1">
        <v>0</v>
      </c>
      <c r="J392" s="1">
        <v>0</v>
      </c>
      <c r="K392" s="1">
        <v>0</v>
      </c>
      <c r="L392" s="1" t="s">
        <v>1892</v>
      </c>
      <c r="M392" s="1" t="s">
        <v>1893</v>
      </c>
      <c r="N392" s="1" t="s">
        <v>13</v>
      </c>
      <c r="O392" s="1" t="s">
        <v>1894</v>
      </c>
    </row>
    <row r="393" spans="1:15" x14ac:dyDescent="0.4">
      <c r="A393" s="1" t="s">
        <v>1891</v>
      </c>
      <c r="B393" s="1" t="s">
        <v>6692</v>
      </c>
      <c r="C393" s="1" t="s">
        <v>6705</v>
      </c>
      <c r="D393" s="1" t="s">
        <v>2460</v>
      </c>
      <c r="E393" s="1" t="s">
        <v>1909</v>
      </c>
      <c r="F393" s="1" t="s">
        <v>17</v>
      </c>
      <c r="G393" s="4" t="str">
        <f>"07501"</f>
        <v>07501</v>
      </c>
      <c r="H393" s="1">
        <v>0</v>
      </c>
      <c r="I393" s="1">
        <v>0</v>
      </c>
      <c r="J393" s="1">
        <v>0</v>
      </c>
      <c r="K393" s="1">
        <v>0</v>
      </c>
      <c r="L393" s="1" t="s">
        <v>6702</v>
      </c>
      <c r="M393" s="1" t="s">
        <v>6703</v>
      </c>
      <c r="N393" s="1" t="s">
        <v>1183</v>
      </c>
      <c r="O393" s="1" t="s">
        <v>6704</v>
      </c>
    </row>
    <row r="394" spans="1:15" x14ac:dyDescent="0.4">
      <c r="A394" s="1" t="s">
        <v>4675</v>
      </c>
      <c r="B394" s="1" t="s">
        <v>4670</v>
      </c>
      <c r="C394" s="1" t="s">
        <v>4679</v>
      </c>
      <c r="D394" s="1" t="s">
        <v>4674</v>
      </c>
      <c r="E394" s="1" t="s">
        <v>4704</v>
      </c>
      <c r="F394" s="1" t="s">
        <v>17</v>
      </c>
      <c r="G394" s="4" t="str">
        <f>"08840"</f>
        <v>08840</v>
      </c>
      <c r="H394" s="1">
        <v>0</v>
      </c>
      <c r="I394" s="1">
        <v>0</v>
      </c>
      <c r="J394" s="1">
        <v>0</v>
      </c>
      <c r="K394" s="1">
        <v>0</v>
      </c>
      <c r="L394" s="1" t="s">
        <v>4676</v>
      </c>
      <c r="M394" s="1" t="s">
        <v>4677</v>
      </c>
      <c r="N394" s="1" t="s">
        <v>13</v>
      </c>
      <c r="O394" s="1" t="s">
        <v>4678</v>
      </c>
    </row>
    <row r="395" spans="1:15" x14ac:dyDescent="0.4">
      <c r="A395" s="1" t="s">
        <v>3220</v>
      </c>
      <c r="B395" s="1" t="s">
        <v>3202</v>
      </c>
      <c r="C395" s="1" t="s">
        <v>3224</v>
      </c>
      <c r="D395" s="1" t="s">
        <v>3219</v>
      </c>
      <c r="E395" s="1" t="s">
        <v>8024</v>
      </c>
      <c r="F395" s="1" t="s">
        <v>17</v>
      </c>
      <c r="G395" s="4" t="str">
        <f>"07042-2305"</f>
        <v>07042-2305</v>
      </c>
      <c r="H395" s="1">
        <v>0</v>
      </c>
      <c r="I395" s="1">
        <v>0</v>
      </c>
      <c r="J395" s="1">
        <v>0</v>
      </c>
      <c r="K395" s="1">
        <v>39</v>
      </c>
      <c r="L395" s="1" t="s">
        <v>3221</v>
      </c>
      <c r="M395" s="1" t="s">
        <v>3222</v>
      </c>
      <c r="N395" s="1" t="s">
        <v>13</v>
      </c>
      <c r="O395" s="1" t="s">
        <v>3223</v>
      </c>
    </row>
    <row r="396" spans="1:15" x14ac:dyDescent="0.4">
      <c r="A396" s="1" t="s">
        <v>4710</v>
      </c>
      <c r="B396" s="1" t="s">
        <v>4705</v>
      </c>
      <c r="C396" s="1" t="s">
        <v>4713</v>
      </c>
      <c r="D396" s="1" t="s">
        <v>4571</v>
      </c>
      <c r="E396" s="1" t="s">
        <v>4704</v>
      </c>
      <c r="F396" s="1" t="s">
        <v>17</v>
      </c>
      <c r="G396" s="4" t="str">
        <f>"08837"</f>
        <v>08837</v>
      </c>
      <c r="H396" s="1">
        <v>0</v>
      </c>
      <c r="I396" s="1">
        <v>0</v>
      </c>
      <c r="J396" s="1">
        <v>0</v>
      </c>
      <c r="K396" s="1">
        <v>0</v>
      </c>
      <c r="L396" s="1" t="s">
        <v>3160</v>
      </c>
      <c r="M396" s="1" t="s">
        <v>4711</v>
      </c>
      <c r="N396" s="1" t="s">
        <v>13</v>
      </c>
      <c r="O396" s="1" t="s">
        <v>4712</v>
      </c>
    </row>
    <row r="397" spans="1:15" x14ac:dyDescent="0.4">
      <c r="A397" s="1" t="s">
        <v>4573</v>
      </c>
      <c r="B397" s="1" t="s">
        <v>4570</v>
      </c>
      <c r="C397" s="1" t="s">
        <v>4576</v>
      </c>
      <c r="D397" s="1" t="s">
        <v>4571</v>
      </c>
      <c r="E397" s="1" t="s">
        <v>4704</v>
      </c>
      <c r="F397" s="1" t="s">
        <v>17</v>
      </c>
      <c r="G397" s="4" t="str">
        <f>"08817"</f>
        <v>08817</v>
      </c>
      <c r="H397" s="1">
        <v>0</v>
      </c>
      <c r="I397" s="1">
        <v>0</v>
      </c>
      <c r="J397" s="1">
        <v>0</v>
      </c>
      <c r="K397" s="1">
        <v>0</v>
      </c>
      <c r="L397" s="1" t="s">
        <v>665</v>
      </c>
      <c r="M397" s="1" t="s">
        <v>4574</v>
      </c>
      <c r="N397" s="1" t="s">
        <v>13</v>
      </c>
      <c r="O397" s="1" t="s">
        <v>4575</v>
      </c>
    </row>
    <row r="398" spans="1:15" x14ac:dyDescent="0.4">
      <c r="A398" s="1" t="s">
        <v>3498</v>
      </c>
      <c r="B398" s="1" t="s">
        <v>3497</v>
      </c>
      <c r="C398" s="1" t="s">
        <v>3500</v>
      </c>
      <c r="D398" s="1" t="s">
        <v>3501</v>
      </c>
      <c r="E398" s="1" t="s">
        <v>8024</v>
      </c>
      <c r="F398" s="1" t="s">
        <v>17</v>
      </c>
      <c r="G398" s="4" t="str">
        <f>"07052-5725"</f>
        <v>07052-5725</v>
      </c>
      <c r="H398" s="1">
        <v>0</v>
      </c>
      <c r="I398" s="1">
        <v>0</v>
      </c>
      <c r="J398" s="1">
        <v>0</v>
      </c>
      <c r="K398" s="1">
        <v>0</v>
      </c>
      <c r="L398" s="1" t="s">
        <v>1086</v>
      </c>
      <c r="M398" s="1" t="s">
        <v>2756</v>
      </c>
      <c r="N398" s="1" t="s">
        <v>13</v>
      </c>
      <c r="O398" s="1" t="s">
        <v>3499</v>
      </c>
    </row>
    <row r="399" spans="1:15" x14ac:dyDescent="0.4">
      <c r="A399" s="1" t="s">
        <v>1247</v>
      </c>
      <c r="B399" s="1" t="s">
        <v>1246</v>
      </c>
      <c r="C399" s="1" t="s">
        <v>1250</v>
      </c>
      <c r="D399" s="1" t="s">
        <v>1251</v>
      </c>
      <c r="E399" s="1" t="s">
        <v>8018</v>
      </c>
      <c r="F399" s="1" t="s">
        <v>17</v>
      </c>
      <c r="G399" s="4" t="str">
        <f>"07458"</f>
        <v>07458</v>
      </c>
      <c r="H399" s="1">
        <v>0</v>
      </c>
      <c r="I399" s="1">
        <v>0</v>
      </c>
      <c r="J399" s="1">
        <v>0</v>
      </c>
      <c r="K399" s="1">
        <v>0</v>
      </c>
      <c r="L399" s="1" t="s">
        <v>128</v>
      </c>
      <c r="M399" s="1" t="s">
        <v>1248</v>
      </c>
      <c r="N399" s="1" t="s">
        <v>13</v>
      </c>
      <c r="O399" s="1" t="s">
        <v>1249</v>
      </c>
    </row>
    <row r="400" spans="1:15" x14ac:dyDescent="0.4">
      <c r="A400" s="1" t="s">
        <v>5306</v>
      </c>
      <c r="B400" s="1" t="s">
        <v>5297</v>
      </c>
      <c r="C400" s="1" t="s">
        <v>5310</v>
      </c>
      <c r="D400" s="1" t="s">
        <v>5192</v>
      </c>
      <c r="E400" s="1" t="s">
        <v>8027</v>
      </c>
      <c r="F400" s="1" t="s">
        <v>17</v>
      </c>
      <c r="G400" s="4" t="str">
        <f>"07727-3542"</f>
        <v>07727-3542</v>
      </c>
      <c r="H400" s="1">
        <v>0</v>
      </c>
      <c r="I400" s="1">
        <v>0</v>
      </c>
      <c r="J400" s="1">
        <v>0</v>
      </c>
      <c r="K400" s="1">
        <v>68</v>
      </c>
      <c r="L400" s="1" t="s">
        <v>5307</v>
      </c>
      <c r="M400" s="1" t="s">
        <v>5308</v>
      </c>
      <c r="N400" s="1" t="s">
        <v>13</v>
      </c>
      <c r="O400" s="1" t="s">
        <v>5309</v>
      </c>
    </row>
    <row r="401" spans="1:15" x14ac:dyDescent="0.4">
      <c r="A401" s="1" t="s">
        <v>4867</v>
      </c>
      <c r="B401" s="1" t="s">
        <v>4858</v>
      </c>
      <c r="C401" s="1" t="s">
        <v>4870</v>
      </c>
      <c r="D401" s="1" t="s">
        <v>4719</v>
      </c>
      <c r="E401" s="1" t="s">
        <v>4704</v>
      </c>
      <c r="F401" s="1" t="s">
        <v>17</v>
      </c>
      <c r="G401" s="4" t="str">
        <f>"08861"</f>
        <v>08861</v>
      </c>
      <c r="H401" s="1">
        <v>0</v>
      </c>
      <c r="I401" s="1">
        <v>0</v>
      </c>
      <c r="J401" s="1">
        <v>0</v>
      </c>
      <c r="K401" s="1">
        <v>102</v>
      </c>
      <c r="L401" s="1" t="s">
        <v>611</v>
      </c>
      <c r="M401" s="1" t="s">
        <v>4868</v>
      </c>
      <c r="N401" s="1" t="s">
        <v>13</v>
      </c>
      <c r="O401" s="1" t="s">
        <v>4869</v>
      </c>
    </row>
    <row r="402" spans="1:15" x14ac:dyDescent="0.4">
      <c r="A402" s="1" t="s">
        <v>2893</v>
      </c>
      <c r="B402" s="1" t="s">
        <v>2878</v>
      </c>
      <c r="C402" s="1" t="s">
        <v>2895</v>
      </c>
      <c r="D402" s="1" t="s">
        <v>2796</v>
      </c>
      <c r="E402" s="1" t="s">
        <v>8023</v>
      </c>
      <c r="F402" s="1" t="s">
        <v>17</v>
      </c>
      <c r="G402" s="4" t="str">
        <f>"08361-7871"</f>
        <v>08361-7871</v>
      </c>
      <c r="H402" s="1">
        <v>0</v>
      </c>
      <c r="I402" s="1">
        <v>0</v>
      </c>
      <c r="J402" s="1">
        <v>0</v>
      </c>
      <c r="K402" s="1">
        <v>0</v>
      </c>
      <c r="L402" s="1" t="s">
        <v>34</v>
      </c>
      <c r="M402" s="1" t="s">
        <v>1506</v>
      </c>
      <c r="N402" s="1" t="s">
        <v>13</v>
      </c>
      <c r="O402" s="1" t="s">
        <v>2894</v>
      </c>
    </row>
    <row r="403" spans="1:15" x14ac:dyDescent="0.4">
      <c r="A403" s="1" t="s">
        <v>2263</v>
      </c>
      <c r="B403" s="1" t="s">
        <v>2262</v>
      </c>
      <c r="C403" s="1" t="s">
        <v>2266</v>
      </c>
      <c r="D403" s="1" t="s">
        <v>2035</v>
      </c>
      <c r="E403" s="1" t="s">
        <v>1909</v>
      </c>
      <c r="F403" s="1" t="s">
        <v>17</v>
      </c>
      <c r="G403" s="4" t="str">
        <f>"08043-9545"</f>
        <v>08043-9545</v>
      </c>
      <c r="H403" s="1">
        <v>0</v>
      </c>
      <c r="I403" s="1">
        <v>0</v>
      </c>
      <c r="J403" s="1">
        <v>0</v>
      </c>
      <c r="K403" s="1">
        <v>72</v>
      </c>
      <c r="L403" s="1" t="s">
        <v>20</v>
      </c>
      <c r="M403" s="1" t="s">
        <v>2264</v>
      </c>
      <c r="N403" s="1" t="s">
        <v>13</v>
      </c>
      <c r="O403" s="1" t="s">
        <v>2265</v>
      </c>
    </row>
    <row r="404" spans="1:15" x14ac:dyDescent="0.4">
      <c r="A404" s="1" t="s">
        <v>93</v>
      </c>
      <c r="B404" s="1" t="s">
        <v>89</v>
      </c>
      <c r="C404" s="1" t="s">
        <v>97</v>
      </c>
      <c r="D404" s="1" t="s">
        <v>92</v>
      </c>
      <c r="E404" s="1" t="s">
        <v>8017</v>
      </c>
      <c r="F404" s="1" t="s">
        <v>17</v>
      </c>
      <c r="G404" s="4" t="str">
        <f>"08215-1547"</f>
        <v>08215-1547</v>
      </c>
      <c r="H404" s="1">
        <v>0</v>
      </c>
      <c r="I404" s="1">
        <v>0</v>
      </c>
      <c r="J404" s="1">
        <v>0</v>
      </c>
      <c r="K404" s="1">
        <v>0</v>
      </c>
      <c r="L404" s="1" t="s">
        <v>94</v>
      </c>
      <c r="M404" s="1" t="s">
        <v>95</v>
      </c>
      <c r="N404" s="1" t="s">
        <v>13</v>
      </c>
      <c r="O404" s="1" t="s">
        <v>96</v>
      </c>
    </row>
    <row r="405" spans="1:15" x14ac:dyDescent="0.4">
      <c r="A405" s="1" t="s">
        <v>117</v>
      </c>
      <c r="B405" s="1" t="s">
        <v>98</v>
      </c>
      <c r="C405" s="1" t="s">
        <v>121</v>
      </c>
      <c r="D405" s="1" t="s">
        <v>104</v>
      </c>
      <c r="E405" s="1" t="s">
        <v>8017</v>
      </c>
      <c r="F405" s="1" t="s">
        <v>17</v>
      </c>
      <c r="G405" s="4" t="str">
        <f>"08234-9450"</f>
        <v>08234-9450</v>
      </c>
      <c r="H405" s="1">
        <v>0</v>
      </c>
      <c r="I405" s="1">
        <v>0</v>
      </c>
      <c r="J405" s="1">
        <v>0</v>
      </c>
      <c r="K405" s="1">
        <v>0</v>
      </c>
      <c r="L405" s="1" t="s">
        <v>118</v>
      </c>
      <c r="M405" s="1" t="s">
        <v>119</v>
      </c>
      <c r="N405" s="1" t="s">
        <v>13</v>
      </c>
      <c r="O405" s="1" t="s">
        <v>120</v>
      </c>
    </row>
    <row r="406" spans="1:15" x14ac:dyDescent="0.4">
      <c r="A406" s="1" t="s">
        <v>7112</v>
      </c>
      <c r="B406" s="1" t="s">
        <v>7093</v>
      </c>
      <c r="C406" s="1" t="s">
        <v>7115</v>
      </c>
      <c r="D406" s="1" t="s">
        <v>7094</v>
      </c>
      <c r="E406" s="1" t="s">
        <v>2471</v>
      </c>
      <c r="F406" s="1" t="s">
        <v>17</v>
      </c>
      <c r="G406" s="4" t="str">
        <f>"08807"</f>
        <v>08807</v>
      </c>
      <c r="H406" s="1">
        <v>0</v>
      </c>
      <c r="I406" s="1">
        <v>0</v>
      </c>
      <c r="J406" s="1">
        <v>0</v>
      </c>
      <c r="K406" s="1">
        <v>0</v>
      </c>
      <c r="L406" s="1" t="s">
        <v>169</v>
      </c>
      <c r="M406" s="1" t="s">
        <v>7113</v>
      </c>
      <c r="N406" s="1" t="s">
        <v>13</v>
      </c>
      <c r="O406" s="1" t="s">
        <v>7114</v>
      </c>
    </row>
    <row r="407" spans="1:15" x14ac:dyDescent="0.4">
      <c r="A407" s="1" t="s">
        <v>6142</v>
      </c>
      <c r="B407" s="1" t="s">
        <v>6141</v>
      </c>
      <c r="C407" s="1" t="s">
        <v>6144</v>
      </c>
      <c r="D407" s="1" t="s">
        <v>6145</v>
      </c>
      <c r="E407" s="1" t="s">
        <v>1503</v>
      </c>
      <c r="F407" s="1" t="s">
        <v>17</v>
      </c>
      <c r="G407" s="4" t="str">
        <f>"07876-1624"</f>
        <v>07876-1624</v>
      </c>
      <c r="H407" s="1">
        <v>0</v>
      </c>
      <c r="I407" s="1">
        <v>0</v>
      </c>
      <c r="J407" s="1">
        <v>0</v>
      </c>
      <c r="K407" s="1">
        <v>0</v>
      </c>
      <c r="L407" s="1" t="s">
        <v>563</v>
      </c>
      <c r="M407" s="1" t="s">
        <v>5126</v>
      </c>
      <c r="N407" s="1" t="s">
        <v>13</v>
      </c>
      <c r="O407" s="1" t="s">
        <v>6143</v>
      </c>
    </row>
    <row r="408" spans="1:15" x14ac:dyDescent="0.4">
      <c r="A408" s="1" t="s">
        <v>6834</v>
      </c>
      <c r="B408" s="1" t="s">
        <v>6833</v>
      </c>
      <c r="C408" s="1" t="s">
        <v>6837</v>
      </c>
      <c r="D408" s="1" t="s">
        <v>6838</v>
      </c>
      <c r="E408" s="1" t="s">
        <v>2670</v>
      </c>
      <c r="F408" s="1" t="s">
        <v>17</v>
      </c>
      <c r="G408" s="4" t="str">
        <f>"07456"</f>
        <v>07456</v>
      </c>
      <c r="H408" s="1">
        <v>0</v>
      </c>
      <c r="I408" s="1">
        <v>0</v>
      </c>
      <c r="J408" s="1">
        <v>0</v>
      </c>
      <c r="K408" s="1">
        <v>0</v>
      </c>
      <c r="L408" s="1" t="s">
        <v>877</v>
      </c>
      <c r="M408" s="1" t="s">
        <v>6835</v>
      </c>
      <c r="N408" s="1" t="s">
        <v>13</v>
      </c>
      <c r="O408" s="1" t="s">
        <v>6836</v>
      </c>
    </row>
    <row r="409" spans="1:15" x14ac:dyDescent="0.4">
      <c r="A409" s="1" t="s">
        <v>1434</v>
      </c>
      <c r="B409" s="1" t="s">
        <v>1424</v>
      </c>
      <c r="C409" s="1" t="s">
        <v>1437</v>
      </c>
      <c r="D409" s="1" t="s">
        <v>1429</v>
      </c>
      <c r="E409" s="1" t="s">
        <v>8019</v>
      </c>
      <c r="F409" s="1" t="s">
        <v>17</v>
      </c>
      <c r="G409" s="4" t="str">
        <f>"08077-2404"</f>
        <v>08077-2404</v>
      </c>
      <c r="H409" s="1">
        <v>0</v>
      </c>
      <c r="I409" s="1">
        <v>0</v>
      </c>
      <c r="J409" s="1">
        <v>0</v>
      </c>
      <c r="K409" s="1">
        <v>0</v>
      </c>
      <c r="L409" s="1" t="s">
        <v>582</v>
      </c>
      <c r="M409" s="1" t="s">
        <v>1435</v>
      </c>
      <c r="N409" s="1" t="s">
        <v>13</v>
      </c>
      <c r="O409" s="1" t="s">
        <v>1436</v>
      </c>
    </row>
    <row r="410" spans="1:15" x14ac:dyDescent="0.4">
      <c r="A410" s="1" t="s">
        <v>496</v>
      </c>
      <c r="B410" s="1" t="s">
        <v>495</v>
      </c>
      <c r="C410" s="1" t="s">
        <v>500</v>
      </c>
      <c r="D410" s="1" t="s">
        <v>501</v>
      </c>
      <c r="E410" s="1" t="s">
        <v>8018</v>
      </c>
      <c r="F410" s="1" t="s">
        <v>17</v>
      </c>
      <c r="G410" s="4" t="str">
        <f>"07020-1112"</f>
        <v>07020-1112</v>
      </c>
      <c r="H410" s="1">
        <v>0</v>
      </c>
      <c r="I410" s="1">
        <v>0</v>
      </c>
      <c r="J410" s="1">
        <v>0</v>
      </c>
      <c r="K410" s="1">
        <v>0</v>
      </c>
      <c r="L410" s="1" t="s">
        <v>497</v>
      </c>
      <c r="M410" s="1" t="s">
        <v>498</v>
      </c>
      <c r="N410" s="1" t="s">
        <v>13</v>
      </c>
      <c r="O410" s="1" t="s">
        <v>499</v>
      </c>
    </row>
    <row r="411" spans="1:15" x14ac:dyDescent="0.4">
      <c r="A411" s="1" t="s">
        <v>2869</v>
      </c>
      <c r="B411" s="1" t="s">
        <v>2867</v>
      </c>
      <c r="C411" s="1" t="s">
        <v>2872</v>
      </c>
      <c r="D411" s="1" t="s">
        <v>2868</v>
      </c>
      <c r="E411" s="1" t="s">
        <v>8023</v>
      </c>
      <c r="F411" s="1" t="s">
        <v>17</v>
      </c>
      <c r="G411" s="4" t="str">
        <f>"08302-4261"</f>
        <v>08302-4261</v>
      </c>
      <c r="H411" s="1">
        <v>0</v>
      </c>
      <c r="I411" s="1">
        <v>0</v>
      </c>
      <c r="J411" s="1">
        <v>0</v>
      </c>
      <c r="K411" s="1">
        <v>0</v>
      </c>
      <c r="L411" s="1" t="s">
        <v>180</v>
      </c>
      <c r="M411" s="1" t="s">
        <v>2870</v>
      </c>
      <c r="N411" s="1" t="s">
        <v>13</v>
      </c>
      <c r="O411" s="1" t="s">
        <v>2871</v>
      </c>
    </row>
    <row r="412" spans="1:15" x14ac:dyDescent="0.4">
      <c r="A412" s="1" t="s">
        <v>2131</v>
      </c>
      <c r="B412" s="1" t="s">
        <v>2127</v>
      </c>
      <c r="C412" s="1" t="s">
        <v>2135</v>
      </c>
      <c r="D412" s="1" t="s">
        <v>1831</v>
      </c>
      <c r="E412" s="1" t="s">
        <v>1909</v>
      </c>
      <c r="F412" s="1" t="s">
        <v>17</v>
      </c>
      <c r="G412" s="4" t="str">
        <f>"08033"</f>
        <v>08033</v>
      </c>
      <c r="H412" s="1">
        <v>0</v>
      </c>
      <c r="I412" s="1">
        <v>0</v>
      </c>
      <c r="J412" s="1">
        <v>44</v>
      </c>
      <c r="K412" s="1">
        <v>0</v>
      </c>
      <c r="L412" s="1" t="s">
        <v>2132</v>
      </c>
      <c r="M412" s="1" t="s">
        <v>2133</v>
      </c>
      <c r="N412" s="1" t="s">
        <v>13</v>
      </c>
      <c r="O412" s="1" t="s">
        <v>2134</v>
      </c>
    </row>
    <row r="413" spans="1:15" x14ac:dyDescent="0.4">
      <c r="A413" s="1" t="s">
        <v>7497</v>
      </c>
      <c r="B413" s="1" t="s">
        <v>7477</v>
      </c>
      <c r="C413" s="1" t="s">
        <v>7499</v>
      </c>
      <c r="D413" s="1" t="s">
        <v>3890</v>
      </c>
      <c r="E413" s="1" t="s">
        <v>7833</v>
      </c>
      <c r="F413" s="1" t="s">
        <v>17</v>
      </c>
      <c r="G413" s="4" t="str">
        <f>"07202"</f>
        <v>07202</v>
      </c>
      <c r="H413" s="1">
        <v>0</v>
      </c>
      <c r="I413" s="1">
        <v>0</v>
      </c>
      <c r="J413" s="1">
        <v>0</v>
      </c>
      <c r="K413" s="1">
        <v>0</v>
      </c>
      <c r="L413" s="1" t="s">
        <v>158</v>
      </c>
      <c r="M413" s="1" t="s">
        <v>1778</v>
      </c>
      <c r="N413" s="1" t="s">
        <v>13</v>
      </c>
      <c r="O413" s="1" t="s">
        <v>7498</v>
      </c>
    </row>
    <row r="414" spans="1:15" x14ac:dyDescent="0.4">
      <c r="A414" s="1" t="s">
        <v>6334</v>
      </c>
      <c r="B414" s="1" t="s">
        <v>6328</v>
      </c>
      <c r="C414" s="1" t="s">
        <v>6336</v>
      </c>
      <c r="D414" s="1" t="s">
        <v>6333</v>
      </c>
      <c r="E414" s="1" t="s">
        <v>8028</v>
      </c>
      <c r="F414" s="1" t="s">
        <v>17</v>
      </c>
      <c r="G414" s="4" t="str">
        <f>"08701"</f>
        <v>08701</v>
      </c>
      <c r="H414" s="1">
        <v>0</v>
      </c>
      <c r="I414" s="1">
        <v>0</v>
      </c>
      <c r="J414" s="1">
        <v>0</v>
      </c>
      <c r="K414" s="1">
        <v>0</v>
      </c>
      <c r="L414" s="1" t="s">
        <v>4349</v>
      </c>
      <c r="M414" s="1" t="s">
        <v>2870</v>
      </c>
      <c r="N414" s="1" t="s">
        <v>13</v>
      </c>
      <c r="O414" s="1" t="s">
        <v>6335</v>
      </c>
    </row>
    <row r="415" spans="1:15" x14ac:dyDescent="0.4">
      <c r="A415" s="1" t="s">
        <v>6628</v>
      </c>
      <c r="B415" s="1" t="s">
        <v>6622</v>
      </c>
      <c r="C415" s="1" t="s">
        <v>6631</v>
      </c>
      <c r="D415" s="1" t="s">
        <v>2670</v>
      </c>
      <c r="E415" s="1" t="s">
        <v>2670</v>
      </c>
      <c r="F415" s="1" t="s">
        <v>17</v>
      </c>
      <c r="G415" s="4" t="str">
        <f>"07055"</f>
        <v>07055</v>
      </c>
      <c r="H415" s="1">
        <v>0</v>
      </c>
      <c r="I415" s="1">
        <v>0</v>
      </c>
      <c r="J415" s="1">
        <v>0</v>
      </c>
      <c r="K415" s="1">
        <v>0</v>
      </c>
      <c r="L415" s="1" t="s">
        <v>38</v>
      </c>
      <c r="M415" s="1" t="s">
        <v>6629</v>
      </c>
      <c r="N415" s="1" t="s">
        <v>13</v>
      </c>
      <c r="O415" s="1" t="s">
        <v>6630</v>
      </c>
    </row>
    <row r="416" spans="1:15" x14ac:dyDescent="0.4">
      <c r="A416" s="1" t="s">
        <v>6997</v>
      </c>
      <c r="B416" s="1" t="s">
        <v>6991</v>
      </c>
      <c r="C416" s="1" t="s">
        <v>6999</v>
      </c>
      <c r="D416" s="1" t="s">
        <v>2514</v>
      </c>
      <c r="E416" s="1" t="s">
        <v>8029</v>
      </c>
      <c r="F416" s="1" t="s">
        <v>17</v>
      </c>
      <c r="G416" s="4" t="str">
        <f>"08318"</f>
        <v>08318</v>
      </c>
      <c r="H416" s="1">
        <v>0</v>
      </c>
      <c r="I416" s="1">
        <v>0</v>
      </c>
      <c r="J416" s="1">
        <v>0</v>
      </c>
      <c r="K416" s="1">
        <v>104</v>
      </c>
      <c r="L416" s="1" t="s">
        <v>146</v>
      </c>
      <c r="M416" s="1" t="s">
        <v>275</v>
      </c>
      <c r="N416" s="1" t="s">
        <v>13</v>
      </c>
      <c r="O416" s="1" t="s">
        <v>6998</v>
      </c>
    </row>
    <row r="417" spans="1:15" x14ac:dyDescent="0.4">
      <c r="A417" s="1" t="s">
        <v>6951</v>
      </c>
      <c r="B417" s="1" t="s">
        <v>6950</v>
      </c>
      <c r="C417" s="1" t="s">
        <v>6955</v>
      </c>
      <c r="D417" s="1" t="s">
        <v>2508</v>
      </c>
      <c r="E417" s="1" t="s">
        <v>8029</v>
      </c>
      <c r="F417" s="1" t="s">
        <v>17</v>
      </c>
      <c r="G417" s="4" t="str">
        <f>"08079"</f>
        <v>08079</v>
      </c>
      <c r="H417" s="1">
        <v>0</v>
      </c>
      <c r="I417" s="1">
        <v>0</v>
      </c>
      <c r="J417" s="1">
        <v>0</v>
      </c>
      <c r="K417" s="1">
        <v>6</v>
      </c>
      <c r="L417" s="1" t="s">
        <v>6952</v>
      </c>
      <c r="M417" s="1" t="s">
        <v>6953</v>
      </c>
      <c r="N417" s="1" t="s">
        <v>91</v>
      </c>
      <c r="O417" s="1" t="s">
        <v>6954</v>
      </c>
    </row>
    <row r="418" spans="1:15" x14ac:dyDescent="0.4">
      <c r="A418" s="1" t="s">
        <v>2538</v>
      </c>
      <c r="B418" s="1" t="s">
        <v>2537</v>
      </c>
      <c r="C418" s="1" t="s">
        <v>2541</v>
      </c>
      <c r="D418" s="1" t="s">
        <v>2542</v>
      </c>
      <c r="E418" s="1" t="s">
        <v>8022</v>
      </c>
      <c r="F418" s="1" t="s">
        <v>17</v>
      </c>
      <c r="G418" s="4" t="str">
        <f>"07030"</f>
        <v>07030</v>
      </c>
      <c r="H418" s="1">
        <v>0</v>
      </c>
      <c r="I418" s="1">
        <v>0</v>
      </c>
      <c r="J418" s="1">
        <v>0</v>
      </c>
      <c r="K418" s="1">
        <v>31</v>
      </c>
      <c r="L418" s="1" t="s">
        <v>247</v>
      </c>
      <c r="M418" s="1" t="s">
        <v>2539</v>
      </c>
      <c r="N418" s="1" t="s">
        <v>2322</v>
      </c>
      <c r="O418" s="1" t="s">
        <v>2540</v>
      </c>
    </row>
    <row r="419" spans="1:15" x14ac:dyDescent="0.4">
      <c r="A419" s="1" t="s">
        <v>7651</v>
      </c>
      <c r="B419" s="1" t="s">
        <v>7630</v>
      </c>
      <c r="C419" s="1" t="s">
        <v>7655</v>
      </c>
      <c r="D419" s="1" t="s">
        <v>2763</v>
      </c>
      <c r="E419" s="1" t="s">
        <v>7833</v>
      </c>
      <c r="F419" s="1" t="s">
        <v>17</v>
      </c>
      <c r="G419" s="4" t="str">
        <f>"07062-1701"</f>
        <v>07062-1701</v>
      </c>
      <c r="H419" s="1">
        <v>0</v>
      </c>
      <c r="I419" s="1">
        <v>0</v>
      </c>
      <c r="J419" s="1">
        <v>0</v>
      </c>
      <c r="K419" s="1">
        <v>69</v>
      </c>
      <c r="L419" s="1" t="s">
        <v>7652</v>
      </c>
      <c r="M419" s="1" t="s">
        <v>7653</v>
      </c>
      <c r="N419" s="1" t="s">
        <v>13</v>
      </c>
      <c r="O419" s="1" t="s">
        <v>7654</v>
      </c>
    </row>
    <row r="420" spans="1:15" x14ac:dyDescent="0.4">
      <c r="A420" s="1" t="s">
        <v>523</v>
      </c>
      <c r="B420" s="1" t="s">
        <v>522</v>
      </c>
      <c r="C420" s="1" t="s">
        <v>526</v>
      </c>
      <c r="D420" s="1" t="s">
        <v>527</v>
      </c>
      <c r="E420" s="1" t="s">
        <v>8018</v>
      </c>
      <c r="F420" s="1" t="s">
        <v>17</v>
      </c>
      <c r="G420" s="4" t="str">
        <f>"07630"</f>
        <v>07630</v>
      </c>
      <c r="H420" s="1">
        <v>0</v>
      </c>
      <c r="I420" s="1">
        <v>0</v>
      </c>
      <c r="J420" s="1">
        <v>0</v>
      </c>
      <c r="K420" s="1">
        <v>0</v>
      </c>
      <c r="L420" s="1" t="s">
        <v>50</v>
      </c>
      <c r="M420" s="1" t="s">
        <v>524</v>
      </c>
      <c r="N420" s="1" t="s">
        <v>13</v>
      </c>
      <c r="O420" s="1" t="s">
        <v>525</v>
      </c>
    </row>
    <row r="421" spans="1:15" x14ac:dyDescent="0.4">
      <c r="A421" s="1" t="s">
        <v>4005</v>
      </c>
      <c r="B421" s="1" t="s">
        <v>3999</v>
      </c>
      <c r="C421" s="1" t="s">
        <v>4008</v>
      </c>
      <c r="D421" s="1" t="s">
        <v>4009</v>
      </c>
      <c r="E421" s="1" t="s">
        <v>3646</v>
      </c>
      <c r="F421" s="1" t="s">
        <v>17</v>
      </c>
      <c r="G421" s="4" t="str">
        <f>"07087"</f>
        <v>07087</v>
      </c>
      <c r="H421" s="1">
        <v>0</v>
      </c>
      <c r="I421" s="1">
        <v>0</v>
      </c>
      <c r="J421" s="1">
        <v>0</v>
      </c>
      <c r="K421" s="1">
        <v>0</v>
      </c>
      <c r="L421" s="1" t="s">
        <v>963</v>
      </c>
      <c r="M421" s="1" t="s">
        <v>4006</v>
      </c>
      <c r="N421" s="1" t="s">
        <v>13</v>
      </c>
      <c r="O421" s="1" t="s">
        <v>4007</v>
      </c>
    </row>
    <row r="422" spans="1:15" x14ac:dyDescent="0.4">
      <c r="A422" s="1" t="s">
        <v>1252</v>
      </c>
      <c r="B422" s="1" t="s">
        <v>1246</v>
      </c>
      <c r="C422" s="1" t="s">
        <v>1255</v>
      </c>
      <c r="D422" s="1" t="s">
        <v>1251</v>
      </c>
      <c r="E422" s="1" t="s">
        <v>8018</v>
      </c>
      <c r="F422" s="1" t="s">
        <v>17</v>
      </c>
      <c r="G422" s="4" t="str">
        <f>"07458"</f>
        <v>07458</v>
      </c>
      <c r="H422" s="1">
        <v>0</v>
      </c>
      <c r="I422" s="1">
        <v>0</v>
      </c>
      <c r="J422" s="1">
        <v>0</v>
      </c>
      <c r="K422" s="1">
        <v>0</v>
      </c>
      <c r="L422" s="1" t="s">
        <v>34</v>
      </c>
      <c r="M422" s="1" t="s">
        <v>1253</v>
      </c>
      <c r="N422" s="1" t="s">
        <v>13</v>
      </c>
      <c r="O422" s="1" t="s">
        <v>1254</v>
      </c>
    </row>
    <row r="423" spans="1:15" x14ac:dyDescent="0.4">
      <c r="A423" s="1" t="s">
        <v>4244</v>
      </c>
      <c r="B423" s="1" t="s">
        <v>4235</v>
      </c>
      <c r="C423" s="1" t="s">
        <v>4247</v>
      </c>
      <c r="D423" s="1" t="s">
        <v>4239</v>
      </c>
      <c r="E423" s="1" t="s">
        <v>8026</v>
      </c>
      <c r="F423" s="1" t="s">
        <v>17</v>
      </c>
      <c r="G423" s="4" t="str">
        <f>"08690"</f>
        <v>08690</v>
      </c>
      <c r="H423" s="1">
        <v>0</v>
      </c>
      <c r="I423" s="1">
        <v>0</v>
      </c>
      <c r="J423" s="1">
        <v>0</v>
      </c>
      <c r="K423" s="1">
        <v>0</v>
      </c>
      <c r="L423" s="1" t="s">
        <v>140</v>
      </c>
      <c r="M423" s="1" t="s">
        <v>4245</v>
      </c>
      <c r="N423" s="1" t="s">
        <v>13</v>
      </c>
      <c r="O423" s="1" t="s">
        <v>4246</v>
      </c>
    </row>
    <row r="424" spans="1:15" x14ac:dyDescent="0.4">
      <c r="A424" s="1" t="s">
        <v>4943</v>
      </c>
      <c r="B424" s="1" t="s">
        <v>4939</v>
      </c>
      <c r="C424" s="1" t="s">
        <v>4946</v>
      </c>
      <c r="D424" s="1" t="s">
        <v>4632</v>
      </c>
      <c r="E424" s="1" t="s">
        <v>4704</v>
      </c>
      <c r="F424" s="1" t="s">
        <v>17</v>
      </c>
      <c r="G424" s="4" t="str">
        <f>"08859-1558"</f>
        <v>08859-1558</v>
      </c>
      <c r="H424" s="1">
        <v>0</v>
      </c>
      <c r="I424" s="1">
        <v>0</v>
      </c>
      <c r="J424" s="1">
        <v>0</v>
      </c>
      <c r="K424" s="1">
        <v>133</v>
      </c>
      <c r="L424" s="1" t="s">
        <v>306</v>
      </c>
      <c r="M424" s="1" t="s">
        <v>4944</v>
      </c>
      <c r="N424" s="1" t="s">
        <v>13</v>
      </c>
      <c r="O424" s="1" t="s">
        <v>4945</v>
      </c>
    </row>
    <row r="425" spans="1:15" x14ac:dyDescent="0.4">
      <c r="A425" s="1" t="s">
        <v>10</v>
      </c>
      <c r="B425" s="1" t="s">
        <v>9</v>
      </c>
      <c r="C425" s="1" t="s">
        <v>15</v>
      </c>
      <c r="D425" s="1" t="s">
        <v>16</v>
      </c>
      <c r="E425" s="1" t="s">
        <v>8017</v>
      </c>
      <c r="F425" s="1" t="s">
        <v>17</v>
      </c>
      <c r="G425" s="4" t="str">
        <f>"08201"</f>
        <v>08201</v>
      </c>
      <c r="H425" s="1">
        <v>0</v>
      </c>
      <c r="I425" s="1">
        <v>0</v>
      </c>
      <c r="J425" s="1">
        <v>0</v>
      </c>
      <c r="K425" s="1">
        <v>0</v>
      </c>
      <c r="L425" s="1" t="s">
        <v>11</v>
      </c>
      <c r="M425" s="1" t="s">
        <v>12</v>
      </c>
      <c r="N425" s="1" t="s">
        <v>13</v>
      </c>
      <c r="O425" s="1" t="s">
        <v>14</v>
      </c>
    </row>
    <row r="426" spans="1:15" x14ac:dyDescent="0.4">
      <c r="A426" s="1" t="s">
        <v>6256</v>
      </c>
      <c r="B426" s="1" t="s">
        <v>6241</v>
      </c>
      <c r="C426" s="1" t="s">
        <v>6259</v>
      </c>
      <c r="D426" s="1" t="s">
        <v>6251</v>
      </c>
      <c r="E426" s="1" t="s">
        <v>8028</v>
      </c>
      <c r="F426" s="1" t="s">
        <v>17</v>
      </c>
      <c r="G426" s="4" t="str">
        <f>"08723-6021"</f>
        <v>08723-6021</v>
      </c>
      <c r="H426" s="1">
        <v>0</v>
      </c>
      <c r="I426" s="1">
        <v>0</v>
      </c>
      <c r="J426" s="1">
        <v>0</v>
      </c>
      <c r="K426" s="1">
        <v>152</v>
      </c>
      <c r="L426" s="1" t="s">
        <v>272</v>
      </c>
      <c r="M426" s="1" t="s">
        <v>6257</v>
      </c>
      <c r="N426" s="1" t="s">
        <v>13</v>
      </c>
      <c r="O426" s="1" t="s">
        <v>6258</v>
      </c>
    </row>
    <row r="427" spans="1:15" x14ac:dyDescent="0.4">
      <c r="A427" s="1" t="s">
        <v>2543</v>
      </c>
      <c r="B427" s="1" t="s">
        <v>2543</v>
      </c>
      <c r="C427" s="1" t="s">
        <v>2545</v>
      </c>
      <c r="D427" s="1" t="s">
        <v>2439</v>
      </c>
      <c r="E427" s="1" t="s">
        <v>8022</v>
      </c>
      <c r="F427" s="1" t="s">
        <v>17</v>
      </c>
      <c r="G427" s="4" t="str">
        <f>"07304"</f>
        <v>07304</v>
      </c>
      <c r="H427" s="1">
        <v>0</v>
      </c>
      <c r="I427" s="1">
        <v>0</v>
      </c>
      <c r="J427" s="1">
        <v>0</v>
      </c>
      <c r="K427" s="1">
        <v>122</v>
      </c>
      <c r="L427" s="1" t="s">
        <v>132</v>
      </c>
      <c r="M427" s="1" t="s">
        <v>40</v>
      </c>
      <c r="N427" s="1" t="s">
        <v>13</v>
      </c>
      <c r="O427" s="1" t="s">
        <v>2544</v>
      </c>
    </row>
    <row r="428" spans="1:15" x14ac:dyDescent="0.4">
      <c r="A428" s="1" t="s">
        <v>2547</v>
      </c>
      <c r="B428" s="1" t="s">
        <v>2547</v>
      </c>
      <c r="C428" s="1" t="s">
        <v>2549</v>
      </c>
      <c r="D428" s="1" t="s">
        <v>540</v>
      </c>
      <c r="E428" s="1" t="s">
        <v>8022</v>
      </c>
      <c r="F428" s="1" t="s">
        <v>17</v>
      </c>
      <c r="G428" s="4" t="str">
        <f>"07631"</f>
        <v>07631</v>
      </c>
      <c r="H428" s="1">
        <v>0</v>
      </c>
      <c r="I428" s="1">
        <v>0</v>
      </c>
      <c r="J428" s="1">
        <v>0</v>
      </c>
      <c r="K428" s="1">
        <v>29</v>
      </c>
      <c r="L428" s="1" t="s">
        <v>413</v>
      </c>
      <c r="M428" s="1" t="s">
        <v>1630</v>
      </c>
      <c r="N428" s="1" t="s">
        <v>13</v>
      </c>
      <c r="O428" s="1" t="s">
        <v>2548</v>
      </c>
    </row>
    <row r="429" spans="1:15" x14ac:dyDescent="0.4">
      <c r="A429" s="1" t="s">
        <v>1018</v>
      </c>
      <c r="B429" s="1" t="s">
        <v>1017</v>
      </c>
      <c r="C429" s="1" t="s">
        <v>1021</v>
      </c>
      <c r="D429" s="1" t="s">
        <v>1022</v>
      </c>
      <c r="E429" s="1" t="s">
        <v>8018</v>
      </c>
      <c r="F429" s="1" t="s">
        <v>17</v>
      </c>
      <c r="G429" s="4" t="str">
        <f>"07446-1411"</f>
        <v>07446-1411</v>
      </c>
      <c r="H429" s="1">
        <v>0</v>
      </c>
      <c r="I429" s="1">
        <v>0</v>
      </c>
      <c r="J429" s="1">
        <v>0</v>
      </c>
      <c r="K429" s="1">
        <v>0</v>
      </c>
      <c r="L429" s="1" t="s">
        <v>42</v>
      </c>
      <c r="M429" s="1" t="s">
        <v>1019</v>
      </c>
      <c r="N429" s="1" t="s">
        <v>13</v>
      </c>
      <c r="O429" s="1" t="s">
        <v>1020</v>
      </c>
    </row>
    <row r="430" spans="1:15" x14ac:dyDescent="0.4">
      <c r="A430" s="1" t="s">
        <v>3079</v>
      </c>
      <c r="B430" s="1" t="s">
        <v>3078</v>
      </c>
      <c r="C430" s="1" t="s">
        <v>3083</v>
      </c>
      <c r="D430" s="1" t="s">
        <v>3084</v>
      </c>
      <c r="E430" s="1" t="s">
        <v>8024</v>
      </c>
      <c r="F430" s="1" t="s">
        <v>17</v>
      </c>
      <c r="G430" s="4" t="str">
        <f>"07004"</f>
        <v>07004</v>
      </c>
      <c r="H430" s="1">
        <v>0</v>
      </c>
      <c r="I430" s="1">
        <v>0</v>
      </c>
      <c r="J430" s="1">
        <v>0</v>
      </c>
      <c r="K430" s="1">
        <v>0</v>
      </c>
      <c r="L430" s="1" t="s">
        <v>3080</v>
      </c>
      <c r="M430" s="1" t="s">
        <v>3081</v>
      </c>
      <c r="N430" s="1" t="s">
        <v>13</v>
      </c>
      <c r="O430" s="1" t="s">
        <v>3082</v>
      </c>
    </row>
    <row r="431" spans="1:15" x14ac:dyDescent="0.4">
      <c r="A431" s="1" t="s">
        <v>8053</v>
      </c>
      <c r="B431" s="1" t="s">
        <v>3060</v>
      </c>
      <c r="C431" s="1" t="s">
        <v>3063</v>
      </c>
      <c r="D431" s="1" t="s">
        <v>2526</v>
      </c>
      <c r="E431" s="1" t="s">
        <v>8024</v>
      </c>
      <c r="F431" s="1" t="s">
        <v>17</v>
      </c>
      <c r="G431" s="4" t="str">
        <f>"07107-1218"</f>
        <v>07107-1218</v>
      </c>
      <c r="H431" s="1">
        <v>0</v>
      </c>
      <c r="I431" s="1">
        <v>0</v>
      </c>
      <c r="J431" s="1">
        <v>0</v>
      </c>
      <c r="K431" s="1">
        <v>0</v>
      </c>
      <c r="L431" s="1" t="s">
        <v>700</v>
      </c>
      <c r="M431" s="1" t="s">
        <v>3061</v>
      </c>
      <c r="N431" s="1" t="s">
        <v>13</v>
      </c>
      <c r="O431" s="1" t="s">
        <v>3062</v>
      </c>
    </row>
    <row r="432" spans="1:15" x14ac:dyDescent="0.4">
      <c r="A432" s="1" t="s">
        <v>3064</v>
      </c>
      <c r="B432" s="1" t="s">
        <v>3060</v>
      </c>
      <c r="C432" s="1" t="s">
        <v>3067</v>
      </c>
      <c r="D432" s="1" t="s">
        <v>2153</v>
      </c>
      <c r="E432" s="1" t="s">
        <v>8024</v>
      </c>
      <c r="F432" s="1" t="s">
        <v>17</v>
      </c>
      <c r="G432" s="4" t="str">
        <f>"07103"</f>
        <v>07103</v>
      </c>
      <c r="H432" s="1">
        <v>0</v>
      </c>
      <c r="I432" s="1">
        <v>0</v>
      </c>
      <c r="J432" s="1">
        <v>0</v>
      </c>
      <c r="K432" s="1">
        <v>0</v>
      </c>
      <c r="L432" s="1" t="s">
        <v>3065</v>
      </c>
      <c r="M432" s="1" t="s">
        <v>39</v>
      </c>
      <c r="N432" s="1" t="s">
        <v>13</v>
      </c>
      <c r="O432" s="1" t="s">
        <v>3066</v>
      </c>
    </row>
    <row r="433" spans="1:15" x14ac:dyDescent="0.4">
      <c r="A433" s="1" t="s">
        <v>3068</v>
      </c>
      <c r="B433" s="1" t="s">
        <v>3060</v>
      </c>
      <c r="C433" s="1" t="s">
        <v>3071</v>
      </c>
      <c r="D433" s="1" t="s">
        <v>3005</v>
      </c>
      <c r="E433" s="1" t="s">
        <v>8024</v>
      </c>
      <c r="F433" s="1" t="s">
        <v>17</v>
      </c>
      <c r="G433" s="4" t="str">
        <f>"07006"</f>
        <v>07006</v>
      </c>
      <c r="H433" s="1">
        <v>0</v>
      </c>
      <c r="I433" s="1">
        <v>0</v>
      </c>
      <c r="J433" s="1">
        <v>0</v>
      </c>
      <c r="K433" s="1">
        <v>0</v>
      </c>
      <c r="L433" s="1" t="s">
        <v>3069</v>
      </c>
      <c r="M433" s="1" t="s">
        <v>1158</v>
      </c>
      <c r="N433" s="1" t="s">
        <v>13</v>
      </c>
      <c r="O433" s="1" t="s">
        <v>3070</v>
      </c>
    </row>
    <row r="434" spans="1:15" x14ac:dyDescent="0.4">
      <c r="A434" s="1" t="s">
        <v>3073</v>
      </c>
      <c r="B434" s="1" t="s">
        <v>3072</v>
      </c>
      <c r="C434" s="1" t="s">
        <v>3076</v>
      </c>
      <c r="D434" s="1" t="s">
        <v>3077</v>
      </c>
      <c r="E434" s="1" t="s">
        <v>8024</v>
      </c>
      <c r="F434" s="1" t="s">
        <v>17</v>
      </c>
      <c r="G434" s="4" t="str">
        <f>"07021-1120"</f>
        <v>07021-1120</v>
      </c>
      <c r="H434" s="1">
        <v>0</v>
      </c>
      <c r="I434" s="1">
        <v>0</v>
      </c>
      <c r="J434" s="1">
        <v>0</v>
      </c>
      <c r="K434" s="1">
        <v>30</v>
      </c>
      <c r="L434" s="1" t="s">
        <v>272</v>
      </c>
      <c r="M434" s="1" t="s">
        <v>3074</v>
      </c>
      <c r="N434" s="1" t="s">
        <v>13</v>
      </c>
      <c r="O434" s="1" t="s">
        <v>3075</v>
      </c>
    </row>
    <row r="435" spans="1:15" x14ac:dyDescent="0.4">
      <c r="A435" s="1" t="s">
        <v>3085</v>
      </c>
      <c r="B435" s="1" t="s">
        <v>3078</v>
      </c>
      <c r="C435" s="1" t="s">
        <v>3086</v>
      </c>
      <c r="D435" s="1" t="s">
        <v>3087</v>
      </c>
      <c r="E435" s="1" t="s">
        <v>8024</v>
      </c>
      <c r="F435" s="1" t="s">
        <v>17</v>
      </c>
      <c r="G435" s="4" t="str">
        <f>"07004"</f>
        <v>07004</v>
      </c>
      <c r="H435" s="1">
        <v>0</v>
      </c>
      <c r="I435" s="1">
        <v>0</v>
      </c>
      <c r="J435" s="1">
        <v>0</v>
      </c>
      <c r="K435" s="1">
        <v>0</v>
      </c>
      <c r="L435" s="1" t="s">
        <v>3080</v>
      </c>
      <c r="M435" s="1" t="s">
        <v>3081</v>
      </c>
      <c r="N435" s="1" t="s">
        <v>13</v>
      </c>
      <c r="O435" s="1" t="s">
        <v>3082</v>
      </c>
    </row>
    <row r="436" spans="1:15" x14ac:dyDescent="0.4">
      <c r="A436" s="1" t="s">
        <v>3088</v>
      </c>
      <c r="B436" s="1" t="s">
        <v>3078</v>
      </c>
      <c r="C436" s="1" t="s">
        <v>3086</v>
      </c>
      <c r="D436" s="1" t="s">
        <v>3087</v>
      </c>
      <c r="E436" s="1" t="s">
        <v>8024</v>
      </c>
      <c r="F436" s="1" t="s">
        <v>17</v>
      </c>
      <c r="G436" s="4" t="str">
        <f>"07004"</f>
        <v>07004</v>
      </c>
      <c r="H436" s="1">
        <v>0</v>
      </c>
      <c r="I436" s="1">
        <v>0</v>
      </c>
      <c r="J436" s="1">
        <v>0</v>
      </c>
      <c r="K436" s="1">
        <v>0</v>
      </c>
      <c r="L436" s="1" t="s">
        <v>128</v>
      </c>
      <c r="M436" s="1" t="s">
        <v>3089</v>
      </c>
      <c r="N436" s="1" t="s">
        <v>13</v>
      </c>
      <c r="O436" s="1" t="s">
        <v>3090</v>
      </c>
    </row>
    <row r="437" spans="1:15" x14ac:dyDescent="0.4">
      <c r="A437" s="1" t="s">
        <v>4074</v>
      </c>
      <c r="B437" s="1" t="s">
        <v>4073</v>
      </c>
      <c r="C437" s="1" t="s">
        <v>4077</v>
      </c>
      <c r="D437" s="1" t="s">
        <v>4078</v>
      </c>
      <c r="E437" s="1" t="s">
        <v>8025</v>
      </c>
      <c r="F437" s="1" t="s">
        <v>17</v>
      </c>
      <c r="G437" s="4" t="str">
        <f>"08802"</f>
        <v>08802</v>
      </c>
      <c r="H437" s="1">
        <v>0</v>
      </c>
      <c r="I437" s="1">
        <v>0</v>
      </c>
      <c r="J437" s="1">
        <v>0</v>
      </c>
      <c r="K437" s="1">
        <v>0</v>
      </c>
      <c r="L437" s="1" t="s">
        <v>685</v>
      </c>
      <c r="M437" s="1" t="s">
        <v>4075</v>
      </c>
      <c r="N437" s="1" t="s">
        <v>13</v>
      </c>
      <c r="O437" s="1" t="s">
        <v>4076</v>
      </c>
    </row>
    <row r="438" spans="1:15" x14ac:dyDescent="0.4">
      <c r="A438" s="1" t="s">
        <v>1844</v>
      </c>
      <c r="B438" s="1" t="s">
        <v>1837</v>
      </c>
      <c r="C438" s="1" t="s">
        <v>1847</v>
      </c>
      <c r="D438" s="1" t="s">
        <v>1842</v>
      </c>
      <c r="E438" s="1" t="s">
        <v>1909</v>
      </c>
      <c r="F438" s="1" t="s">
        <v>17</v>
      </c>
      <c r="G438" s="4" t="str">
        <f>"08031"</f>
        <v>08031</v>
      </c>
      <c r="H438" s="1">
        <v>0</v>
      </c>
      <c r="I438" s="1">
        <v>0</v>
      </c>
      <c r="J438" s="1">
        <v>0</v>
      </c>
      <c r="K438" s="1">
        <v>32</v>
      </c>
      <c r="L438" s="1" t="s">
        <v>1408</v>
      </c>
      <c r="M438" s="1" t="s">
        <v>1845</v>
      </c>
      <c r="N438" s="1" t="s">
        <v>13</v>
      </c>
      <c r="O438" s="1" t="s">
        <v>1846</v>
      </c>
    </row>
    <row r="439" spans="1:15" x14ac:dyDescent="0.4">
      <c r="A439" s="1" t="s">
        <v>4194</v>
      </c>
      <c r="B439" s="1" t="s">
        <v>4193</v>
      </c>
      <c r="C439" s="1" t="s">
        <v>4197</v>
      </c>
      <c r="D439" s="1" t="s">
        <v>4198</v>
      </c>
      <c r="E439" s="1" t="s">
        <v>8026</v>
      </c>
      <c r="F439" s="1" t="s">
        <v>17</v>
      </c>
      <c r="G439" s="4" t="str">
        <f>"08520"</f>
        <v>08520</v>
      </c>
      <c r="H439" s="1">
        <v>0</v>
      </c>
      <c r="I439" s="1">
        <v>0</v>
      </c>
      <c r="J439" s="1">
        <v>0</v>
      </c>
      <c r="K439" s="1">
        <v>150</v>
      </c>
      <c r="L439" s="1" t="s">
        <v>43</v>
      </c>
      <c r="M439" s="1" t="s">
        <v>4195</v>
      </c>
      <c r="N439" s="1" t="s">
        <v>13</v>
      </c>
      <c r="O439" s="1" t="s">
        <v>4196</v>
      </c>
    </row>
    <row r="440" spans="1:15" x14ac:dyDescent="0.4">
      <c r="A440" s="1" t="s">
        <v>206</v>
      </c>
      <c r="B440" s="1" t="s">
        <v>205</v>
      </c>
      <c r="C440" s="1" t="s">
        <v>210</v>
      </c>
      <c r="D440" s="1" t="s">
        <v>211</v>
      </c>
      <c r="E440" s="1" t="s">
        <v>8017</v>
      </c>
      <c r="F440" s="1" t="s">
        <v>17</v>
      </c>
      <c r="G440" s="4" t="str">
        <f>"08402"</f>
        <v>08402</v>
      </c>
      <c r="H440" s="1">
        <v>0</v>
      </c>
      <c r="I440" s="1">
        <v>0</v>
      </c>
      <c r="J440" s="1">
        <v>0</v>
      </c>
      <c r="K440" s="1">
        <v>0</v>
      </c>
      <c r="L440" s="1" t="s">
        <v>207</v>
      </c>
      <c r="M440" s="1" t="s">
        <v>208</v>
      </c>
      <c r="N440" s="1" t="s">
        <v>13</v>
      </c>
      <c r="O440" s="1" t="s">
        <v>209</v>
      </c>
    </row>
    <row r="441" spans="1:15" x14ac:dyDescent="0.4">
      <c r="A441" s="1" t="s">
        <v>7656</v>
      </c>
      <c r="B441" s="1" t="s">
        <v>7630</v>
      </c>
      <c r="C441" s="1" t="s">
        <v>7658</v>
      </c>
      <c r="D441" s="1" t="s">
        <v>2763</v>
      </c>
      <c r="E441" s="1" t="s">
        <v>7833</v>
      </c>
      <c r="F441" s="1" t="s">
        <v>17</v>
      </c>
      <c r="G441" s="4" t="str">
        <f>"07060-2613"</f>
        <v>07060-2613</v>
      </c>
      <c r="H441" s="1">
        <v>0</v>
      </c>
      <c r="I441" s="1">
        <v>0</v>
      </c>
      <c r="J441" s="1">
        <v>0</v>
      </c>
      <c r="K441" s="1">
        <v>55</v>
      </c>
      <c r="L441" s="1" t="s">
        <v>6793</v>
      </c>
      <c r="M441" s="1" t="s">
        <v>2515</v>
      </c>
      <c r="N441" s="1" t="s">
        <v>13</v>
      </c>
      <c r="O441" s="1" t="s">
        <v>7657</v>
      </c>
    </row>
    <row r="442" spans="1:15" x14ac:dyDescent="0.4">
      <c r="A442" s="1" t="s">
        <v>7656</v>
      </c>
      <c r="B442" s="1" t="s">
        <v>7724</v>
      </c>
      <c r="C442" s="1" t="s">
        <v>7727</v>
      </c>
      <c r="D442" s="1" t="s">
        <v>7728</v>
      </c>
      <c r="E442" s="1" t="s">
        <v>7833</v>
      </c>
      <c r="F442" s="1" t="s">
        <v>17</v>
      </c>
      <c r="G442" s="4" t="str">
        <f>"07076"</f>
        <v>07076</v>
      </c>
      <c r="H442" s="1">
        <v>0</v>
      </c>
      <c r="I442" s="1">
        <v>0</v>
      </c>
      <c r="J442" s="1">
        <v>0</v>
      </c>
      <c r="K442" s="1">
        <v>55</v>
      </c>
      <c r="L442" s="1" t="s">
        <v>66</v>
      </c>
      <c r="M442" s="1" t="s">
        <v>7725</v>
      </c>
      <c r="N442" s="1" t="s">
        <v>13</v>
      </c>
      <c r="O442" s="1" t="s">
        <v>7726</v>
      </c>
    </row>
    <row r="443" spans="1:15" x14ac:dyDescent="0.4">
      <c r="A443" s="1" t="s">
        <v>4221</v>
      </c>
      <c r="B443" s="1" t="s">
        <v>4220</v>
      </c>
      <c r="C443" s="1" t="s">
        <v>4224</v>
      </c>
      <c r="D443" s="1" t="s">
        <v>4225</v>
      </c>
      <c r="E443" s="1" t="s">
        <v>8026</v>
      </c>
      <c r="F443" s="1" t="s">
        <v>17</v>
      </c>
      <c r="G443" s="4" t="str">
        <f>"08618-2308"</f>
        <v>08618-2308</v>
      </c>
      <c r="H443" s="1">
        <v>0</v>
      </c>
      <c r="I443" s="1">
        <v>0</v>
      </c>
      <c r="J443" s="1">
        <v>0</v>
      </c>
      <c r="K443" s="1">
        <v>0</v>
      </c>
      <c r="L443" s="1" t="s">
        <v>143</v>
      </c>
      <c r="M443" s="1" t="s">
        <v>4222</v>
      </c>
      <c r="N443" s="1" t="s">
        <v>13</v>
      </c>
      <c r="O443" s="1" t="s">
        <v>4223</v>
      </c>
    </row>
    <row r="444" spans="1:15" x14ac:dyDescent="0.4">
      <c r="A444" s="1" t="s">
        <v>3878</v>
      </c>
      <c r="B444" s="1" t="s">
        <v>3864</v>
      </c>
      <c r="C444" s="1" t="s">
        <v>3881</v>
      </c>
      <c r="D444" s="1" t="s">
        <v>2605</v>
      </c>
      <c r="E444" s="1" t="s">
        <v>3646</v>
      </c>
      <c r="F444" s="1" t="s">
        <v>17</v>
      </c>
      <c r="G444" s="4" t="str">
        <f>"07302"</f>
        <v>07302</v>
      </c>
      <c r="H444" s="1">
        <v>0</v>
      </c>
      <c r="I444" s="1">
        <v>0</v>
      </c>
      <c r="J444" s="1">
        <v>0</v>
      </c>
      <c r="K444" s="1">
        <v>0</v>
      </c>
      <c r="L444" s="1" t="s">
        <v>207</v>
      </c>
      <c r="M444" s="1" t="s">
        <v>3879</v>
      </c>
      <c r="N444" s="1" t="s">
        <v>13</v>
      </c>
      <c r="O444" s="1" t="s">
        <v>3880</v>
      </c>
    </row>
    <row r="445" spans="1:15" x14ac:dyDescent="0.4">
      <c r="A445" s="1" t="s">
        <v>3895</v>
      </c>
      <c r="B445" s="1" t="s">
        <v>3883</v>
      </c>
      <c r="C445" s="1" t="s">
        <v>3899</v>
      </c>
      <c r="D445" s="1" t="s">
        <v>2605</v>
      </c>
      <c r="E445" s="1" t="s">
        <v>3646</v>
      </c>
      <c r="F445" s="1" t="s">
        <v>17</v>
      </c>
      <c r="G445" s="4" t="str">
        <f>"07305-2448"</f>
        <v>07305-2448</v>
      </c>
      <c r="H445" s="1">
        <v>0</v>
      </c>
      <c r="I445" s="1">
        <v>0</v>
      </c>
      <c r="J445" s="1">
        <v>0</v>
      </c>
      <c r="K445" s="1">
        <v>0</v>
      </c>
      <c r="L445" s="1" t="s">
        <v>3896</v>
      </c>
      <c r="M445" s="1" t="s">
        <v>3897</v>
      </c>
      <c r="N445" s="1" t="s">
        <v>13</v>
      </c>
      <c r="O445" s="1" t="s">
        <v>3898</v>
      </c>
    </row>
    <row r="446" spans="1:15" x14ac:dyDescent="0.4">
      <c r="A446" s="1" t="s">
        <v>1606</v>
      </c>
      <c r="B446" s="1" t="s">
        <v>1605</v>
      </c>
      <c r="C446" s="1" t="s">
        <v>1609</v>
      </c>
      <c r="D446" s="1" t="s">
        <v>1610</v>
      </c>
      <c r="E446" s="1" t="s">
        <v>8019</v>
      </c>
      <c r="F446" s="1" t="s">
        <v>17</v>
      </c>
      <c r="G446" s="4" t="str">
        <f>"08060"</f>
        <v>08060</v>
      </c>
      <c r="H446" s="1">
        <v>0</v>
      </c>
      <c r="I446" s="1">
        <v>0</v>
      </c>
      <c r="J446" s="1">
        <v>0</v>
      </c>
      <c r="K446" s="1">
        <v>0</v>
      </c>
      <c r="L446" s="1" t="s">
        <v>146</v>
      </c>
      <c r="M446" s="1" t="s">
        <v>1607</v>
      </c>
      <c r="N446" s="1" t="s">
        <v>13</v>
      </c>
      <c r="O446" s="1" t="s">
        <v>1608</v>
      </c>
    </row>
    <row r="447" spans="1:15" x14ac:dyDescent="0.4">
      <c r="A447" s="1" t="s">
        <v>562</v>
      </c>
      <c r="B447" s="1" t="s">
        <v>561</v>
      </c>
      <c r="C447" s="1" t="s">
        <v>566</v>
      </c>
      <c r="D447" s="1" t="s">
        <v>567</v>
      </c>
      <c r="E447" s="1" t="s">
        <v>8018</v>
      </c>
      <c r="F447" s="1" t="s">
        <v>17</v>
      </c>
      <c r="G447" s="4" t="str">
        <f>"07410"</f>
        <v>07410</v>
      </c>
      <c r="H447" s="1">
        <v>0</v>
      </c>
      <c r="I447" s="1">
        <v>0</v>
      </c>
      <c r="J447" s="1">
        <v>0</v>
      </c>
      <c r="K447" s="1">
        <v>0</v>
      </c>
      <c r="L447" s="1" t="s">
        <v>563</v>
      </c>
      <c r="M447" s="1" t="s">
        <v>564</v>
      </c>
      <c r="N447" s="1" t="s">
        <v>13</v>
      </c>
      <c r="O447" s="1" t="s">
        <v>565</v>
      </c>
    </row>
    <row r="448" spans="1:15" x14ac:dyDescent="0.4">
      <c r="A448" s="1" t="s">
        <v>2985</v>
      </c>
      <c r="B448" s="1" t="s">
        <v>2958</v>
      </c>
      <c r="C448" s="1" t="s">
        <v>2989</v>
      </c>
      <c r="D448" s="1" t="s">
        <v>2964</v>
      </c>
      <c r="E448" s="1" t="s">
        <v>8024</v>
      </c>
      <c r="F448" s="1" t="s">
        <v>17</v>
      </c>
      <c r="G448" s="4" t="str">
        <f>"07003-5036"</f>
        <v>07003-5036</v>
      </c>
      <c r="H448" s="1">
        <v>0</v>
      </c>
      <c r="I448" s="1">
        <v>0</v>
      </c>
      <c r="J448" s="1">
        <v>0</v>
      </c>
      <c r="K448" s="1">
        <v>65</v>
      </c>
      <c r="L448" s="1" t="s">
        <v>2986</v>
      </c>
      <c r="M448" s="1" t="s">
        <v>2987</v>
      </c>
      <c r="N448" s="1" t="s">
        <v>13</v>
      </c>
      <c r="O448" s="1" t="s">
        <v>2988</v>
      </c>
    </row>
    <row r="449" spans="1:15" x14ac:dyDescent="0.4">
      <c r="A449" s="1" t="s">
        <v>2985</v>
      </c>
      <c r="B449" s="1" t="s">
        <v>5469</v>
      </c>
      <c r="C449" s="1" t="s">
        <v>5481</v>
      </c>
      <c r="D449" s="1" t="s">
        <v>2708</v>
      </c>
      <c r="E449" s="1" t="s">
        <v>8024</v>
      </c>
      <c r="F449" s="1" t="s">
        <v>17</v>
      </c>
      <c r="G449" s="4" t="str">
        <f>"07701-6010"</f>
        <v>07701-6010</v>
      </c>
      <c r="H449" s="1">
        <v>0</v>
      </c>
      <c r="I449" s="1">
        <v>0</v>
      </c>
      <c r="J449" s="1">
        <v>0</v>
      </c>
      <c r="K449" s="1">
        <v>65</v>
      </c>
      <c r="L449" s="1" t="s">
        <v>158</v>
      </c>
      <c r="M449" s="1" t="s">
        <v>5479</v>
      </c>
      <c r="N449" s="1" t="s">
        <v>13</v>
      </c>
      <c r="O449" s="1" t="s">
        <v>5480</v>
      </c>
    </row>
    <row r="450" spans="1:15" x14ac:dyDescent="0.4">
      <c r="A450" s="1" t="s">
        <v>6097</v>
      </c>
      <c r="B450" s="1" t="s">
        <v>6095</v>
      </c>
      <c r="C450" s="1" t="s">
        <v>6099</v>
      </c>
      <c r="D450" s="1" t="s">
        <v>6096</v>
      </c>
      <c r="E450" s="1" t="s">
        <v>1503</v>
      </c>
      <c r="F450" s="1" t="s">
        <v>17</v>
      </c>
      <c r="G450" s="4" t="str">
        <f>"07869"</f>
        <v>07869</v>
      </c>
      <c r="H450" s="1">
        <v>0</v>
      </c>
      <c r="I450" s="1">
        <v>0</v>
      </c>
      <c r="J450" s="1">
        <v>0</v>
      </c>
      <c r="K450" s="1">
        <v>76</v>
      </c>
      <c r="L450" s="1" t="s">
        <v>272</v>
      </c>
      <c r="M450" s="1" t="s">
        <v>4381</v>
      </c>
      <c r="N450" s="1" t="s">
        <v>13</v>
      </c>
      <c r="O450" s="1" t="s">
        <v>6098</v>
      </c>
    </row>
    <row r="451" spans="1:15" x14ac:dyDescent="0.4">
      <c r="A451" s="1" t="s">
        <v>122</v>
      </c>
      <c r="B451" s="1" t="s">
        <v>98</v>
      </c>
      <c r="C451" s="1" t="s">
        <v>126</v>
      </c>
      <c r="D451" s="1" t="s">
        <v>104</v>
      </c>
      <c r="E451" s="1" t="s">
        <v>8017</v>
      </c>
      <c r="F451" s="1" t="s">
        <v>17</v>
      </c>
      <c r="G451" s="4" t="str">
        <f>"08234-5703"</f>
        <v>08234-5703</v>
      </c>
      <c r="H451" s="1">
        <v>0</v>
      </c>
      <c r="I451" s="1">
        <v>0</v>
      </c>
      <c r="J451" s="1">
        <v>0</v>
      </c>
      <c r="K451" s="1">
        <v>0</v>
      </c>
      <c r="L451" s="1" t="s">
        <v>123</v>
      </c>
      <c r="M451" s="1" t="s">
        <v>124</v>
      </c>
      <c r="N451" s="1" t="s">
        <v>13</v>
      </c>
      <c r="O451" s="1" t="s">
        <v>125</v>
      </c>
    </row>
    <row r="452" spans="1:15" x14ac:dyDescent="0.4">
      <c r="A452" s="1" t="s">
        <v>6957</v>
      </c>
      <c r="B452" s="1" t="s">
        <v>6956</v>
      </c>
      <c r="C452" s="1" t="s">
        <v>6960</v>
      </c>
      <c r="D452" s="1" t="s">
        <v>6961</v>
      </c>
      <c r="E452" s="1" t="s">
        <v>8029</v>
      </c>
      <c r="F452" s="1" t="s">
        <v>17</v>
      </c>
      <c r="G452" s="4" t="str">
        <f>"08069-1369"</f>
        <v>08069-1369</v>
      </c>
      <c r="H452" s="1">
        <v>0</v>
      </c>
      <c r="I452" s="1">
        <v>0</v>
      </c>
      <c r="J452" s="1">
        <v>0</v>
      </c>
      <c r="K452" s="1">
        <v>0</v>
      </c>
      <c r="L452" s="1" t="s">
        <v>20</v>
      </c>
      <c r="M452" s="1" t="s">
        <v>6958</v>
      </c>
      <c r="N452" s="1" t="s">
        <v>13</v>
      </c>
      <c r="O452" s="1" t="s">
        <v>6959</v>
      </c>
    </row>
    <row r="453" spans="1:15" x14ac:dyDescent="0.4">
      <c r="A453" s="1" t="s">
        <v>848</v>
      </c>
      <c r="B453" s="1" t="s">
        <v>847</v>
      </c>
      <c r="C453" s="1" t="s">
        <v>851</v>
      </c>
      <c r="D453" s="1" t="s">
        <v>852</v>
      </c>
      <c r="E453" s="1" t="s">
        <v>8018</v>
      </c>
      <c r="F453" s="1" t="s">
        <v>17</v>
      </c>
      <c r="G453" s="4" t="str">
        <f>"07645"</f>
        <v>07645</v>
      </c>
      <c r="H453" s="1">
        <v>0</v>
      </c>
      <c r="I453" s="1">
        <v>0</v>
      </c>
      <c r="J453" s="1">
        <v>0</v>
      </c>
      <c r="K453" s="1">
        <v>0</v>
      </c>
      <c r="L453" s="1" t="s">
        <v>158</v>
      </c>
      <c r="M453" s="1" t="s">
        <v>849</v>
      </c>
      <c r="N453" s="1" t="s">
        <v>13</v>
      </c>
      <c r="O453" s="1" t="s">
        <v>850</v>
      </c>
    </row>
    <row r="454" spans="1:15" x14ac:dyDescent="0.4">
      <c r="A454" s="1" t="s">
        <v>3122</v>
      </c>
      <c r="B454" s="1" t="s">
        <v>3117</v>
      </c>
      <c r="C454" s="1" t="s">
        <v>3126</v>
      </c>
      <c r="D454" s="1" t="s">
        <v>2465</v>
      </c>
      <c r="E454" s="1" t="s">
        <v>8024</v>
      </c>
      <c r="F454" s="1" t="s">
        <v>17</v>
      </c>
      <c r="G454" s="4" t="str">
        <f>"07111-1916"</f>
        <v>07111-1916</v>
      </c>
      <c r="H454" s="1">
        <v>0</v>
      </c>
      <c r="I454" s="1">
        <v>0</v>
      </c>
      <c r="J454" s="1">
        <v>0</v>
      </c>
      <c r="K454" s="1">
        <v>116</v>
      </c>
      <c r="L454" s="1" t="s">
        <v>3123</v>
      </c>
      <c r="M454" s="1" t="s">
        <v>3124</v>
      </c>
      <c r="N454" s="1" t="s">
        <v>13</v>
      </c>
      <c r="O454" s="1" t="s">
        <v>3125</v>
      </c>
    </row>
    <row r="455" spans="1:15" x14ac:dyDescent="0.4">
      <c r="A455" s="1" t="s">
        <v>7758</v>
      </c>
      <c r="B455" s="1" t="s">
        <v>7756</v>
      </c>
      <c r="C455" s="1" t="s">
        <v>7761</v>
      </c>
      <c r="D455" s="1" t="s">
        <v>7757</v>
      </c>
      <c r="E455" s="1" t="s">
        <v>7833</v>
      </c>
      <c r="F455" s="1" t="s">
        <v>17</v>
      </c>
      <c r="G455" s="4" t="str">
        <f>"07081-1312"</f>
        <v>07081-1312</v>
      </c>
      <c r="H455" s="1">
        <v>0</v>
      </c>
      <c r="I455" s="1">
        <v>0</v>
      </c>
      <c r="J455" s="1">
        <v>0</v>
      </c>
      <c r="K455" s="1">
        <v>0</v>
      </c>
      <c r="L455" s="1" t="s">
        <v>997</v>
      </c>
      <c r="M455" s="1" t="s">
        <v>7759</v>
      </c>
      <c r="N455" s="1" t="s">
        <v>13</v>
      </c>
      <c r="O455" s="1" t="s">
        <v>7760</v>
      </c>
    </row>
    <row r="456" spans="1:15" x14ac:dyDescent="0.4">
      <c r="A456" s="1" t="s">
        <v>1509</v>
      </c>
      <c r="B456" s="1" t="s">
        <v>1507</v>
      </c>
      <c r="C456" s="1" t="s">
        <v>1512</v>
      </c>
      <c r="D456" s="1" t="s">
        <v>1347</v>
      </c>
      <c r="E456" s="1" t="s">
        <v>8019</v>
      </c>
      <c r="F456" s="1" t="s">
        <v>17</v>
      </c>
      <c r="G456" s="4" t="str">
        <f>"08016"</f>
        <v>08016</v>
      </c>
      <c r="H456" s="1">
        <v>0</v>
      </c>
      <c r="I456" s="1">
        <v>0</v>
      </c>
      <c r="J456" s="1">
        <v>0</v>
      </c>
      <c r="K456" s="1">
        <v>0</v>
      </c>
      <c r="L456" s="1" t="s">
        <v>434</v>
      </c>
      <c r="M456" s="1" t="s">
        <v>1510</v>
      </c>
      <c r="N456" s="1" t="s">
        <v>13</v>
      </c>
      <c r="O456" s="1" t="s">
        <v>1511</v>
      </c>
    </row>
    <row r="457" spans="1:15" x14ac:dyDescent="0.4">
      <c r="A457" s="1" t="s">
        <v>5068</v>
      </c>
      <c r="B457" s="1" t="s">
        <v>5044</v>
      </c>
      <c r="C457" s="1" t="s">
        <v>5070</v>
      </c>
      <c r="D457" s="1" t="s">
        <v>5071</v>
      </c>
      <c r="E457" s="1" t="s">
        <v>4704</v>
      </c>
      <c r="F457" s="1" t="s">
        <v>17</v>
      </c>
      <c r="G457" s="4" t="str">
        <f>"08863"</f>
        <v>08863</v>
      </c>
      <c r="H457" s="1">
        <v>0</v>
      </c>
      <c r="I457" s="1">
        <v>0</v>
      </c>
      <c r="J457" s="1">
        <v>0</v>
      </c>
      <c r="K457" s="1">
        <v>0</v>
      </c>
      <c r="L457" s="1" t="s">
        <v>38</v>
      </c>
      <c r="M457" s="1" t="s">
        <v>591</v>
      </c>
      <c r="N457" s="1" t="s">
        <v>13</v>
      </c>
      <c r="O457" s="1" t="s">
        <v>5069</v>
      </c>
    </row>
    <row r="458" spans="1:15" x14ac:dyDescent="0.4">
      <c r="A458" s="1" t="s">
        <v>3101</v>
      </c>
      <c r="B458" s="1" t="s">
        <v>3096</v>
      </c>
      <c r="C458" s="1" t="s">
        <v>3103</v>
      </c>
      <c r="D458" s="1" t="s">
        <v>3104</v>
      </c>
      <c r="E458" s="1" t="s">
        <v>8024</v>
      </c>
      <c r="F458" s="1" t="s">
        <v>17</v>
      </c>
      <c r="G458" s="4" t="str">
        <f>"07028-1818"</f>
        <v>07028-1818</v>
      </c>
      <c r="H458" s="1">
        <v>1</v>
      </c>
      <c r="I458" s="1">
        <v>0.8</v>
      </c>
      <c r="J458" s="1">
        <v>0</v>
      </c>
      <c r="K458" s="1">
        <v>34</v>
      </c>
      <c r="L458" s="1" t="s">
        <v>1408</v>
      </c>
      <c r="M458" s="1" t="s">
        <v>591</v>
      </c>
      <c r="N458" s="1" t="s">
        <v>13</v>
      </c>
      <c r="O458" s="1" t="s">
        <v>3102</v>
      </c>
    </row>
    <row r="459" spans="1:15" x14ac:dyDescent="0.4">
      <c r="A459" s="1" t="s">
        <v>3101</v>
      </c>
      <c r="B459" s="1" t="s">
        <v>3467</v>
      </c>
      <c r="C459" s="1" t="s">
        <v>3475</v>
      </c>
      <c r="D459" s="1" t="s">
        <v>3472</v>
      </c>
      <c r="E459" s="1" t="s">
        <v>8024</v>
      </c>
      <c r="F459" s="1" t="s">
        <v>17</v>
      </c>
      <c r="G459" s="4" t="str">
        <f>"07044-1224"</f>
        <v>07044-1224</v>
      </c>
      <c r="H459" s="1">
        <v>1</v>
      </c>
      <c r="I459" s="1">
        <v>0.8</v>
      </c>
      <c r="J459" s="1">
        <v>0</v>
      </c>
      <c r="K459" s="1">
        <v>34</v>
      </c>
      <c r="L459" s="1" t="s">
        <v>671</v>
      </c>
      <c r="M459" s="1" t="s">
        <v>3473</v>
      </c>
      <c r="N459" s="1" t="s">
        <v>13</v>
      </c>
      <c r="O459" s="1" t="s">
        <v>3474</v>
      </c>
    </row>
    <row r="460" spans="1:15" x14ac:dyDescent="0.4">
      <c r="A460" s="1" t="s">
        <v>1896</v>
      </c>
      <c r="B460" s="1" t="s">
        <v>1872</v>
      </c>
      <c r="C460" s="1" t="s">
        <v>1900</v>
      </c>
      <c r="D460" s="1" t="s">
        <v>1810</v>
      </c>
      <c r="E460" s="1" t="s">
        <v>1909</v>
      </c>
      <c r="F460" s="1" t="s">
        <v>17</v>
      </c>
      <c r="G460" s="4" t="str">
        <f>"08103"</f>
        <v>08103</v>
      </c>
      <c r="H460" s="1">
        <v>0</v>
      </c>
      <c r="I460" s="1">
        <v>0</v>
      </c>
      <c r="J460" s="1">
        <v>0</v>
      </c>
      <c r="K460" s="1">
        <v>76</v>
      </c>
      <c r="L460" s="1" t="s">
        <v>1897</v>
      </c>
      <c r="M460" s="1" t="s">
        <v>1898</v>
      </c>
      <c r="N460" s="1" t="s">
        <v>13</v>
      </c>
      <c r="O460" s="1" t="s">
        <v>1899</v>
      </c>
    </row>
    <row r="461" spans="1:15" x14ac:dyDescent="0.4">
      <c r="A461" s="1" t="s">
        <v>6312</v>
      </c>
      <c r="B461" s="1" t="s">
        <v>6306</v>
      </c>
      <c r="C461" s="1" t="s">
        <v>6315</v>
      </c>
      <c r="D461" s="1" t="s">
        <v>6316</v>
      </c>
      <c r="E461" s="1" t="s">
        <v>8028</v>
      </c>
      <c r="F461" s="1" t="s">
        <v>17</v>
      </c>
      <c r="G461" s="4" t="str">
        <f>"08731-0477"</f>
        <v>08731-0477</v>
      </c>
      <c r="H461" s="1">
        <v>0</v>
      </c>
      <c r="I461" s="1">
        <v>0</v>
      </c>
      <c r="J461" s="1">
        <v>0</v>
      </c>
      <c r="K461" s="1">
        <v>2</v>
      </c>
      <c r="L461" s="1" t="s">
        <v>700</v>
      </c>
      <c r="M461" s="1" t="s">
        <v>6313</v>
      </c>
      <c r="N461" s="1" t="s">
        <v>13</v>
      </c>
      <c r="O461" s="1" t="s">
        <v>6314</v>
      </c>
    </row>
    <row r="462" spans="1:15" x14ac:dyDescent="0.4">
      <c r="A462" s="1" t="s">
        <v>5615</v>
      </c>
      <c r="B462" s="1" t="s">
        <v>5610</v>
      </c>
      <c r="C462" s="1" t="s">
        <v>5618</v>
      </c>
      <c r="D462" s="1" t="s">
        <v>5614</v>
      </c>
      <c r="E462" s="1" t="s">
        <v>8027</v>
      </c>
      <c r="F462" s="1" t="s">
        <v>17</v>
      </c>
      <c r="G462" s="4" t="str">
        <f>"07760-1681"</f>
        <v>07760-1681</v>
      </c>
      <c r="H462" s="1">
        <v>0</v>
      </c>
      <c r="I462" s="1">
        <v>0</v>
      </c>
      <c r="J462" s="1">
        <v>0</v>
      </c>
      <c r="K462" s="1">
        <v>0</v>
      </c>
      <c r="L462" s="1" t="s">
        <v>38</v>
      </c>
      <c r="M462" s="1" t="s">
        <v>5616</v>
      </c>
      <c r="N462" s="1" t="s">
        <v>13</v>
      </c>
      <c r="O462" s="1" t="s">
        <v>5617</v>
      </c>
    </row>
    <row r="463" spans="1:15" x14ac:dyDescent="0.4">
      <c r="A463" s="1" t="s">
        <v>610</v>
      </c>
      <c r="B463" s="1" t="s">
        <v>609</v>
      </c>
      <c r="C463" s="1" t="s">
        <v>614</v>
      </c>
      <c r="D463" s="1" t="s">
        <v>615</v>
      </c>
      <c r="E463" s="1" t="s">
        <v>8018</v>
      </c>
      <c r="F463" s="1" t="s">
        <v>17</v>
      </c>
      <c r="G463" s="4" t="str">
        <f>"07024"</f>
        <v>07024</v>
      </c>
      <c r="H463" s="1">
        <v>0</v>
      </c>
      <c r="I463" s="1">
        <v>0</v>
      </c>
      <c r="J463" s="1">
        <v>0</v>
      </c>
      <c r="K463" s="1">
        <v>0</v>
      </c>
      <c r="L463" s="1" t="s">
        <v>611</v>
      </c>
      <c r="M463" s="1" t="s">
        <v>612</v>
      </c>
      <c r="N463" s="1" t="s">
        <v>13</v>
      </c>
      <c r="O463" s="1" t="s">
        <v>613</v>
      </c>
    </row>
    <row r="464" spans="1:15" x14ac:dyDescent="0.4">
      <c r="A464" s="1" t="s">
        <v>2550</v>
      </c>
      <c r="B464" s="1" t="s">
        <v>2550</v>
      </c>
      <c r="C464" s="1" t="s">
        <v>2553</v>
      </c>
      <c r="D464" s="1" t="s">
        <v>2427</v>
      </c>
      <c r="E464" s="1" t="s">
        <v>8022</v>
      </c>
      <c r="F464" s="1" t="s">
        <v>17</v>
      </c>
      <c r="G464" s="4" t="str">
        <f>"08608"</f>
        <v>08608</v>
      </c>
      <c r="H464" s="1">
        <v>0</v>
      </c>
      <c r="I464" s="1">
        <v>0</v>
      </c>
      <c r="J464" s="1">
        <v>0</v>
      </c>
      <c r="K464" s="1">
        <v>141</v>
      </c>
      <c r="L464" s="1" t="s">
        <v>2551</v>
      </c>
      <c r="M464" s="1" t="s">
        <v>1911</v>
      </c>
      <c r="N464" s="1" t="s">
        <v>129</v>
      </c>
      <c r="O464" s="1" t="s">
        <v>2552</v>
      </c>
    </row>
    <row r="465" spans="1:15" x14ac:dyDescent="0.4">
      <c r="A465" s="1" t="s">
        <v>1412</v>
      </c>
      <c r="B465" s="1" t="s">
        <v>1400</v>
      </c>
      <c r="C465" s="1" t="s">
        <v>1416</v>
      </c>
      <c r="D465" s="1" t="s">
        <v>1347</v>
      </c>
      <c r="E465" s="1" t="s">
        <v>8019</v>
      </c>
      <c r="F465" s="1" t="s">
        <v>17</v>
      </c>
      <c r="G465" s="4" t="str">
        <f>"08016"</f>
        <v>08016</v>
      </c>
      <c r="H465" s="1">
        <v>0</v>
      </c>
      <c r="I465" s="1">
        <v>0</v>
      </c>
      <c r="J465" s="1">
        <v>0</v>
      </c>
      <c r="K465" s="1">
        <v>0</v>
      </c>
      <c r="L465" s="1" t="s">
        <v>1413</v>
      </c>
      <c r="M465" s="1" t="s">
        <v>1414</v>
      </c>
      <c r="N465" s="1" t="s">
        <v>13</v>
      </c>
      <c r="O465" s="1" t="s">
        <v>1415</v>
      </c>
    </row>
    <row r="466" spans="1:15" x14ac:dyDescent="0.4">
      <c r="A466" s="1" t="s">
        <v>1475</v>
      </c>
      <c r="B466" s="1" t="s">
        <v>1474</v>
      </c>
      <c r="C466" s="1" t="s">
        <v>1479</v>
      </c>
      <c r="D466" s="1" t="s">
        <v>1480</v>
      </c>
      <c r="E466" s="1" t="s">
        <v>8019</v>
      </c>
      <c r="F466" s="1" t="s">
        <v>17</v>
      </c>
      <c r="G466" s="4" t="str">
        <f>"08053"</f>
        <v>08053</v>
      </c>
      <c r="H466" s="1">
        <v>0</v>
      </c>
      <c r="I466" s="1">
        <v>0</v>
      </c>
      <c r="J466" s="1">
        <v>0</v>
      </c>
      <c r="K466" s="1">
        <v>49</v>
      </c>
      <c r="L466" s="1" t="s">
        <v>1476</v>
      </c>
      <c r="M466" s="1" t="s">
        <v>1477</v>
      </c>
      <c r="N466" s="1" t="s">
        <v>13</v>
      </c>
      <c r="O466" s="1" t="s">
        <v>1478</v>
      </c>
    </row>
    <row r="467" spans="1:15" x14ac:dyDescent="0.4">
      <c r="A467" s="1" t="s">
        <v>1481</v>
      </c>
      <c r="B467" s="1" t="s">
        <v>1474</v>
      </c>
      <c r="C467" s="1" t="s">
        <v>1479</v>
      </c>
      <c r="D467" s="1" t="s">
        <v>1480</v>
      </c>
      <c r="E467" s="1" t="s">
        <v>8019</v>
      </c>
      <c r="F467" s="1" t="s">
        <v>17</v>
      </c>
      <c r="G467" s="4" t="str">
        <f>"08053"</f>
        <v>08053</v>
      </c>
      <c r="H467" s="1">
        <v>0</v>
      </c>
      <c r="I467" s="1">
        <v>0</v>
      </c>
      <c r="J467" s="1">
        <v>0</v>
      </c>
      <c r="K467" s="1">
        <v>0</v>
      </c>
      <c r="L467" s="1" t="s">
        <v>1476</v>
      </c>
      <c r="M467" s="1" t="s">
        <v>1477</v>
      </c>
      <c r="N467" s="1" t="s">
        <v>13</v>
      </c>
      <c r="O467" s="1" t="s">
        <v>1478</v>
      </c>
    </row>
    <row r="468" spans="1:15" x14ac:dyDescent="0.4">
      <c r="A468" s="1" t="s">
        <v>4226</v>
      </c>
      <c r="B468" s="1" t="s">
        <v>4220</v>
      </c>
      <c r="C468" s="1" t="s">
        <v>4229</v>
      </c>
      <c r="D468" s="1" t="s">
        <v>4225</v>
      </c>
      <c r="E468" s="1" t="s">
        <v>8026</v>
      </c>
      <c r="F468" s="1" t="s">
        <v>17</v>
      </c>
      <c r="G468" s="4" t="str">
        <f>"08628-1912"</f>
        <v>08628-1912</v>
      </c>
      <c r="H468" s="1">
        <v>0</v>
      </c>
      <c r="I468" s="1">
        <v>0</v>
      </c>
      <c r="J468" s="1">
        <v>0</v>
      </c>
      <c r="K468" s="1">
        <v>84</v>
      </c>
      <c r="L468" s="1" t="s">
        <v>28</v>
      </c>
      <c r="M468" s="1" t="s">
        <v>4227</v>
      </c>
      <c r="N468" s="1" t="s">
        <v>13</v>
      </c>
      <c r="O468" s="1" t="s">
        <v>4228</v>
      </c>
    </row>
    <row r="469" spans="1:15" x14ac:dyDescent="0.4">
      <c r="A469" s="1" t="s">
        <v>5702</v>
      </c>
      <c r="B469" s="1" t="s">
        <v>5700</v>
      </c>
      <c r="C469" s="1" t="s">
        <v>5705</v>
      </c>
      <c r="D469" s="1" t="s">
        <v>5701</v>
      </c>
      <c r="E469" s="1" t="s">
        <v>8027</v>
      </c>
      <c r="F469" s="1" t="s">
        <v>17</v>
      </c>
      <c r="G469" s="4" t="str">
        <f>"07764-1698"</f>
        <v>07764-1698</v>
      </c>
      <c r="H469" s="1">
        <v>0</v>
      </c>
      <c r="I469" s="1">
        <v>0</v>
      </c>
      <c r="J469" s="1">
        <v>0</v>
      </c>
      <c r="K469" s="1">
        <v>0</v>
      </c>
      <c r="L469" s="1" t="s">
        <v>170</v>
      </c>
      <c r="M469" s="1" t="s">
        <v>5703</v>
      </c>
      <c r="N469" s="1" t="s">
        <v>13</v>
      </c>
      <c r="O469" s="1" t="s">
        <v>5704</v>
      </c>
    </row>
    <row r="470" spans="1:15" x14ac:dyDescent="0.4">
      <c r="A470" s="1" t="s">
        <v>5431</v>
      </c>
      <c r="B470" s="1" t="s">
        <v>5425</v>
      </c>
      <c r="C470" s="1" t="s">
        <v>5434</v>
      </c>
      <c r="D470" s="1" t="s">
        <v>5224</v>
      </c>
      <c r="E470" s="1" t="s">
        <v>8027</v>
      </c>
      <c r="F470" s="1" t="s">
        <v>17</v>
      </c>
      <c r="G470" s="4" t="str">
        <f>"07746-1056"</f>
        <v>07746-1056</v>
      </c>
      <c r="H470" s="1">
        <v>0</v>
      </c>
      <c r="I470" s="1">
        <v>0</v>
      </c>
      <c r="J470" s="1">
        <v>0</v>
      </c>
      <c r="K470" s="1">
        <v>70</v>
      </c>
      <c r="L470" s="1" t="s">
        <v>128</v>
      </c>
      <c r="M470" s="1" t="s">
        <v>5432</v>
      </c>
      <c r="N470" s="1" t="s">
        <v>13</v>
      </c>
      <c r="O470" s="1" t="s">
        <v>5433</v>
      </c>
    </row>
    <row r="471" spans="1:15" x14ac:dyDescent="0.4">
      <c r="A471" s="1" t="s">
        <v>5762</v>
      </c>
      <c r="B471" s="1" t="s">
        <v>5753</v>
      </c>
      <c r="C471" s="1" t="s">
        <v>5765</v>
      </c>
      <c r="D471" s="1" t="s">
        <v>5757</v>
      </c>
      <c r="E471" s="1" t="s">
        <v>1503</v>
      </c>
      <c r="F471" s="1" t="s">
        <v>17</v>
      </c>
      <c r="G471" s="4" t="str">
        <f>"07936-3798"</f>
        <v>07936-3798</v>
      </c>
      <c r="H471" s="1">
        <v>4</v>
      </c>
      <c r="I471" s="1">
        <v>1.7</v>
      </c>
      <c r="J471" s="1">
        <v>0</v>
      </c>
      <c r="K471" s="1">
        <v>85</v>
      </c>
      <c r="L471" s="1" t="s">
        <v>1408</v>
      </c>
      <c r="M471" s="1" t="s">
        <v>5763</v>
      </c>
      <c r="N471" s="1" t="s">
        <v>13</v>
      </c>
      <c r="O471" s="1" t="s">
        <v>5764</v>
      </c>
    </row>
    <row r="472" spans="1:15" x14ac:dyDescent="0.4">
      <c r="A472" s="1" t="s">
        <v>5435</v>
      </c>
      <c r="B472" s="1" t="s">
        <v>5425</v>
      </c>
      <c r="C472" s="1" t="s">
        <v>5438</v>
      </c>
      <c r="D472" s="1" t="s">
        <v>5224</v>
      </c>
      <c r="E472" s="1" t="s">
        <v>8027</v>
      </c>
      <c r="F472" s="1" t="s">
        <v>17</v>
      </c>
      <c r="G472" s="4" t="str">
        <f>"07746-2320"</f>
        <v>07746-2320</v>
      </c>
      <c r="H472" s="1">
        <v>0</v>
      </c>
      <c r="I472" s="1">
        <v>0</v>
      </c>
      <c r="J472" s="1">
        <v>0</v>
      </c>
      <c r="K472" s="1">
        <v>86</v>
      </c>
      <c r="L472" s="1" t="s">
        <v>657</v>
      </c>
      <c r="M472" s="1" t="s">
        <v>5436</v>
      </c>
      <c r="N472" s="1" t="s">
        <v>13</v>
      </c>
      <c r="O472" s="1" t="s">
        <v>5437</v>
      </c>
    </row>
    <row r="473" spans="1:15" x14ac:dyDescent="0.4">
      <c r="A473" s="1" t="s">
        <v>7444</v>
      </c>
      <c r="B473" s="1" t="s">
        <v>7432</v>
      </c>
      <c r="C473" s="1" t="s">
        <v>7445</v>
      </c>
      <c r="D473" s="1" t="s">
        <v>7436</v>
      </c>
      <c r="E473" s="1" t="s">
        <v>7833</v>
      </c>
      <c r="F473" s="1" t="s">
        <v>17</v>
      </c>
      <c r="G473" s="4" t="str">
        <f>"07066"</f>
        <v>07066</v>
      </c>
      <c r="H473" s="1">
        <v>0</v>
      </c>
      <c r="I473" s="1">
        <v>0</v>
      </c>
      <c r="J473" s="1">
        <v>0</v>
      </c>
      <c r="K473" s="1">
        <v>71</v>
      </c>
      <c r="L473" s="1" t="s">
        <v>7441</v>
      </c>
      <c r="M473" s="1" t="s">
        <v>7442</v>
      </c>
      <c r="N473" s="1" t="s">
        <v>13</v>
      </c>
      <c r="O473" s="1" t="s">
        <v>7443</v>
      </c>
    </row>
    <row r="474" spans="1:15" x14ac:dyDescent="0.4">
      <c r="A474" s="1" t="s">
        <v>1274</v>
      </c>
      <c r="B474" s="1" t="s">
        <v>1273</v>
      </c>
      <c r="C474" s="1" t="s">
        <v>1278</v>
      </c>
      <c r="D474" s="1" t="s">
        <v>1279</v>
      </c>
      <c r="E474" s="1" t="s">
        <v>8018</v>
      </c>
      <c r="F474" s="1" t="s">
        <v>17</v>
      </c>
      <c r="G474" s="4" t="str">
        <f>"07057"</f>
        <v>07057</v>
      </c>
      <c r="H474" s="1">
        <v>0</v>
      </c>
      <c r="I474" s="1">
        <v>0</v>
      </c>
      <c r="J474" s="1">
        <v>0</v>
      </c>
      <c r="K474" s="1">
        <v>0</v>
      </c>
      <c r="L474" s="1" t="s">
        <v>1275</v>
      </c>
      <c r="M474" s="1" t="s">
        <v>1276</v>
      </c>
      <c r="N474" s="1" t="s">
        <v>13</v>
      </c>
      <c r="O474" s="1" t="s">
        <v>1277</v>
      </c>
    </row>
    <row r="475" spans="1:15" x14ac:dyDescent="0.4">
      <c r="A475" s="1" t="s">
        <v>7301</v>
      </c>
      <c r="B475" s="1" t="s">
        <v>7300</v>
      </c>
      <c r="C475" s="1" t="s">
        <v>7304</v>
      </c>
      <c r="D475" s="1" t="s">
        <v>7305</v>
      </c>
      <c r="E475" s="1" t="s">
        <v>8030</v>
      </c>
      <c r="F475" s="1" t="s">
        <v>17</v>
      </c>
      <c r="G475" s="4" t="str">
        <f>"07826"</f>
        <v>07826</v>
      </c>
      <c r="H475" s="1">
        <v>0</v>
      </c>
      <c r="I475" s="1">
        <v>0</v>
      </c>
      <c r="J475" s="1">
        <v>0</v>
      </c>
      <c r="K475" s="1">
        <v>54</v>
      </c>
      <c r="L475" s="1" t="s">
        <v>128</v>
      </c>
      <c r="M475" s="1" t="s">
        <v>7302</v>
      </c>
      <c r="N475" s="1" t="s">
        <v>13</v>
      </c>
      <c r="O475" s="1" t="s">
        <v>7303</v>
      </c>
    </row>
    <row r="476" spans="1:15" x14ac:dyDescent="0.4">
      <c r="A476" s="1" t="s">
        <v>638</v>
      </c>
      <c r="B476" s="1" t="s">
        <v>636</v>
      </c>
      <c r="C476" s="1" t="s">
        <v>641</v>
      </c>
      <c r="D476" s="1" t="s">
        <v>637</v>
      </c>
      <c r="E476" s="1" t="s">
        <v>8018</v>
      </c>
      <c r="F476" s="1" t="s">
        <v>17</v>
      </c>
      <c r="G476" s="4" t="str">
        <f>"07417"</f>
        <v>07417</v>
      </c>
      <c r="H476" s="1">
        <v>0</v>
      </c>
      <c r="I476" s="1">
        <v>0</v>
      </c>
      <c r="J476" s="1">
        <v>0</v>
      </c>
      <c r="K476" s="1">
        <v>0</v>
      </c>
      <c r="L476" s="1" t="s">
        <v>62</v>
      </c>
      <c r="M476" s="1" t="s">
        <v>639</v>
      </c>
      <c r="N476" s="1" t="s">
        <v>13</v>
      </c>
      <c r="O476" s="1" t="s">
        <v>640</v>
      </c>
    </row>
    <row r="477" spans="1:15" x14ac:dyDescent="0.4">
      <c r="A477" s="1" t="s">
        <v>7134</v>
      </c>
      <c r="B477" s="1" t="s">
        <v>7133</v>
      </c>
      <c r="C477" s="1" t="s">
        <v>7136</v>
      </c>
      <c r="D477" s="1" t="s">
        <v>2471</v>
      </c>
      <c r="E477" s="1" t="s">
        <v>2471</v>
      </c>
      <c r="F477" s="1" t="s">
        <v>17</v>
      </c>
      <c r="G477" s="4" t="str">
        <f>"08873-3001"</f>
        <v>08873-3001</v>
      </c>
      <c r="H477" s="1">
        <v>0</v>
      </c>
      <c r="I477" s="1">
        <v>0</v>
      </c>
      <c r="J477" s="1">
        <v>0</v>
      </c>
      <c r="K477" s="1">
        <v>0</v>
      </c>
      <c r="L477" s="1" t="s">
        <v>842</v>
      </c>
      <c r="M477" s="1" t="s">
        <v>2755</v>
      </c>
      <c r="N477" s="1" t="s">
        <v>13</v>
      </c>
      <c r="O477" s="1" t="s">
        <v>7135</v>
      </c>
    </row>
    <row r="478" spans="1:15" x14ac:dyDescent="0.4">
      <c r="A478" s="1" t="s">
        <v>3900</v>
      </c>
      <c r="B478" s="1" t="s">
        <v>3883</v>
      </c>
      <c r="C478" s="1" t="s">
        <v>3904</v>
      </c>
      <c r="D478" s="1" t="s">
        <v>2605</v>
      </c>
      <c r="E478" s="1" t="s">
        <v>3646</v>
      </c>
      <c r="F478" s="1" t="s">
        <v>17</v>
      </c>
      <c r="G478" s="4" t="str">
        <f>"07306"</f>
        <v>07306</v>
      </c>
      <c r="H478" s="1">
        <v>0</v>
      </c>
      <c r="I478" s="1">
        <v>0</v>
      </c>
      <c r="J478" s="1">
        <v>0</v>
      </c>
      <c r="K478" s="1">
        <v>0</v>
      </c>
      <c r="L478" s="1" t="s">
        <v>3901</v>
      </c>
      <c r="M478" s="1" t="s">
        <v>3902</v>
      </c>
      <c r="N478" s="1" t="s">
        <v>13</v>
      </c>
      <c r="O478" s="1" t="s">
        <v>3903</v>
      </c>
    </row>
    <row r="479" spans="1:15" x14ac:dyDescent="0.4">
      <c r="A479" s="1" t="s">
        <v>7137</v>
      </c>
      <c r="B479" s="1" t="s">
        <v>7133</v>
      </c>
      <c r="C479" s="1" t="s">
        <v>7140</v>
      </c>
      <c r="D479" s="1" t="s">
        <v>2471</v>
      </c>
      <c r="E479" s="1" t="s">
        <v>2471</v>
      </c>
      <c r="F479" s="1" t="s">
        <v>17</v>
      </c>
      <c r="G479" s="4" t="str">
        <f>"08873-2827"</f>
        <v>08873-2827</v>
      </c>
      <c r="H479" s="1">
        <v>0</v>
      </c>
      <c r="I479" s="1">
        <v>0</v>
      </c>
      <c r="J479" s="1">
        <v>0</v>
      </c>
      <c r="K479" s="1">
        <v>0</v>
      </c>
      <c r="L479" s="1" t="s">
        <v>7138</v>
      </c>
      <c r="M479" s="1" t="s">
        <v>1881</v>
      </c>
      <c r="N479" s="1" t="s">
        <v>13</v>
      </c>
      <c r="O479" s="1" t="s">
        <v>7139</v>
      </c>
    </row>
    <row r="480" spans="1:15" x14ac:dyDescent="0.4">
      <c r="A480" s="1" t="s">
        <v>7141</v>
      </c>
      <c r="B480" s="1" t="s">
        <v>7133</v>
      </c>
      <c r="C480" s="1" t="s">
        <v>7144</v>
      </c>
      <c r="D480" s="1" t="s">
        <v>2471</v>
      </c>
      <c r="E480" s="1" t="s">
        <v>2471</v>
      </c>
      <c r="F480" s="1" t="s">
        <v>17</v>
      </c>
      <c r="G480" s="4" t="str">
        <f>"08873"</f>
        <v>08873</v>
      </c>
      <c r="H480" s="1">
        <v>0</v>
      </c>
      <c r="I480" s="1">
        <v>0</v>
      </c>
      <c r="J480" s="1">
        <v>0</v>
      </c>
      <c r="K480" s="1">
        <v>0</v>
      </c>
      <c r="L480" s="1" t="s">
        <v>7142</v>
      </c>
      <c r="M480" s="1" t="s">
        <v>2755</v>
      </c>
      <c r="N480" s="1" t="s">
        <v>13</v>
      </c>
      <c r="O480" s="1" t="s">
        <v>7143</v>
      </c>
    </row>
    <row r="481" spans="1:15" x14ac:dyDescent="0.4">
      <c r="A481" s="1" t="s">
        <v>784</v>
      </c>
      <c r="B481" s="1" t="s">
        <v>777</v>
      </c>
      <c r="C481" s="1" t="s">
        <v>787</v>
      </c>
      <c r="D481" s="1" t="s">
        <v>780</v>
      </c>
      <c r="E481" s="1" t="s">
        <v>8018</v>
      </c>
      <c r="F481" s="1" t="s">
        <v>17</v>
      </c>
      <c r="G481" s="4" t="str">
        <f>"07071-2122"</f>
        <v>07071-2122</v>
      </c>
      <c r="H481" s="1">
        <v>0</v>
      </c>
      <c r="I481" s="1">
        <v>0</v>
      </c>
      <c r="J481" s="1">
        <v>0</v>
      </c>
      <c r="K481" s="1">
        <v>68</v>
      </c>
      <c r="L481" s="1" t="s">
        <v>38</v>
      </c>
      <c r="M481" s="1" t="s">
        <v>785</v>
      </c>
      <c r="N481" s="1" t="s">
        <v>13</v>
      </c>
      <c r="O481" s="1" t="s">
        <v>786</v>
      </c>
    </row>
    <row r="482" spans="1:15" x14ac:dyDescent="0.4">
      <c r="A482" s="1" t="s">
        <v>784</v>
      </c>
      <c r="B482" s="1" t="s">
        <v>1157</v>
      </c>
      <c r="C482" s="1" t="s">
        <v>1160</v>
      </c>
      <c r="D482" s="1" t="s">
        <v>1161</v>
      </c>
      <c r="E482" s="1" t="s">
        <v>8018</v>
      </c>
      <c r="F482" s="1" t="s">
        <v>17</v>
      </c>
      <c r="G482" s="4" t="str">
        <f>"07663"</f>
        <v>07663</v>
      </c>
      <c r="H482" s="1">
        <v>0</v>
      </c>
      <c r="I482" s="1">
        <v>0</v>
      </c>
      <c r="J482" s="1">
        <v>0</v>
      </c>
      <c r="K482" s="1">
        <v>68</v>
      </c>
      <c r="L482" s="1" t="s">
        <v>34</v>
      </c>
      <c r="M482" s="1" t="s">
        <v>1158</v>
      </c>
      <c r="N482" s="1" t="s">
        <v>13</v>
      </c>
      <c r="O482" s="1" t="s">
        <v>1159</v>
      </c>
    </row>
    <row r="483" spans="1:15" x14ac:dyDescent="0.4">
      <c r="A483" s="1" t="s">
        <v>6406</v>
      </c>
      <c r="B483" s="1" t="s">
        <v>6405</v>
      </c>
      <c r="C483" s="1" t="s">
        <v>6409</v>
      </c>
      <c r="D483" s="1" t="s">
        <v>6404</v>
      </c>
      <c r="E483" s="1" t="s">
        <v>8028</v>
      </c>
      <c r="F483" s="1" t="s">
        <v>17</v>
      </c>
      <c r="G483" s="4" t="str">
        <f>"08758-2606"</f>
        <v>08758-2606</v>
      </c>
      <c r="H483" s="1">
        <v>0</v>
      </c>
      <c r="I483" s="1">
        <v>0</v>
      </c>
      <c r="J483" s="1">
        <v>0</v>
      </c>
      <c r="K483" s="1">
        <v>0</v>
      </c>
      <c r="L483" s="1" t="s">
        <v>6407</v>
      </c>
      <c r="M483" s="1" t="s">
        <v>6299</v>
      </c>
      <c r="N483" s="1" t="s">
        <v>13</v>
      </c>
      <c r="O483" s="1" t="s">
        <v>6408</v>
      </c>
    </row>
    <row r="484" spans="1:15" x14ac:dyDescent="0.4">
      <c r="A484" s="1" t="s">
        <v>3476</v>
      </c>
      <c r="B484" s="1" t="s">
        <v>3467</v>
      </c>
      <c r="C484" s="1" t="s">
        <v>3479</v>
      </c>
      <c r="D484" s="1" t="s">
        <v>3472</v>
      </c>
      <c r="E484" s="1" t="s">
        <v>8024</v>
      </c>
      <c r="F484" s="1" t="s">
        <v>17</v>
      </c>
      <c r="G484" s="4" t="str">
        <f>"07044-1621"</f>
        <v>07044-1621</v>
      </c>
      <c r="H484" s="1">
        <v>0</v>
      </c>
      <c r="I484" s="1">
        <v>0</v>
      </c>
      <c r="J484" s="1">
        <v>0</v>
      </c>
      <c r="K484" s="1">
        <v>50</v>
      </c>
      <c r="L484" s="1" t="s">
        <v>267</v>
      </c>
      <c r="M484" s="1" t="s">
        <v>3477</v>
      </c>
      <c r="N484" s="1" t="s">
        <v>13</v>
      </c>
      <c r="O484" s="1" t="s">
        <v>3478</v>
      </c>
    </row>
    <row r="485" spans="1:15" x14ac:dyDescent="0.4">
      <c r="A485" s="1" t="s">
        <v>7659</v>
      </c>
      <c r="B485" s="1" t="s">
        <v>7630</v>
      </c>
      <c r="C485" s="1" t="s">
        <v>7662</v>
      </c>
      <c r="D485" s="1" t="s">
        <v>2763</v>
      </c>
      <c r="E485" s="1" t="s">
        <v>7833</v>
      </c>
      <c r="F485" s="1" t="s">
        <v>17</v>
      </c>
      <c r="G485" s="4" t="str">
        <f>"07062-2140"</f>
        <v>07062-2140</v>
      </c>
      <c r="H485" s="1">
        <v>0</v>
      </c>
      <c r="I485" s="1">
        <v>0</v>
      </c>
      <c r="J485" s="1">
        <v>0</v>
      </c>
      <c r="K485" s="1">
        <v>32</v>
      </c>
      <c r="L485" s="1" t="s">
        <v>7660</v>
      </c>
      <c r="M485" s="1" t="s">
        <v>748</v>
      </c>
      <c r="N485" s="1" t="s">
        <v>13</v>
      </c>
      <c r="O485" s="1" t="s">
        <v>7661</v>
      </c>
    </row>
    <row r="486" spans="1:15" x14ac:dyDescent="0.4">
      <c r="A486" s="1" t="s">
        <v>5203</v>
      </c>
      <c r="B486" s="1" t="s">
        <v>5199</v>
      </c>
      <c r="C486" s="1" t="s">
        <v>5206</v>
      </c>
      <c r="D486" s="1" t="s">
        <v>5198</v>
      </c>
      <c r="E486" s="1" t="s">
        <v>8027</v>
      </c>
      <c r="F486" s="1" t="s">
        <v>17</v>
      </c>
      <c r="G486" s="4" t="str">
        <f>"07728-1899"</f>
        <v>07728-1899</v>
      </c>
      <c r="H486" s="1">
        <v>0</v>
      </c>
      <c r="I486" s="1">
        <v>0</v>
      </c>
      <c r="J486" s="1">
        <v>0</v>
      </c>
      <c r="K486" s="1">
        <v>0</v>
      </c>
      <c r="L486" s="1" t="s">
        <v>5204</v>
      </c>
      <c r="M486" s="1" t="s">
        <v>4574</v>
      </c>
      <c r="N486" s="1" t="s">
        <v>13</v>
      </c>
      <c r="O486" s="1" t="s">
        <v>5205</v>
      </c>
    </row>
    <row r="487" spans="1:15" x14ac:dyDescent="0.4">
      <c r="A487" s="1" t="s">
        <v>5194</v>
      </c>
      <c r="B487" s="1" t="s">
        <v>5193</v>
      </c>
      <c r="C487" s="1" t="s">
        <v>5197</v>
      </c>
      <c r="D487" s="1" t="s">
        <v>5198</v>
      </c>
      <c r="E487" s="1" t="s">
        <v>8027</v>
      </c>
      <c r="F487" s="1" t="s">
        <v>17</v>
      </c>
      <c r="G487" s="4" t="str">
        <f>"07728-2096"</f>
        <v>07728-2096</v>
      </c>
      <c r="H487" s="1">
        <v>0</v>
      </c>
      <c r="I487" s="1">
        <v>0</v>
      </c>
      <c r="J487" s="1">
        <v>0</v>
      </c>
      <c r="K487" s="1">
        <v>0</v>
      </c>
      <c r="L487" s="1" t="s">
        <v>434</v>
      </c>
      <c r="M487" s="1" t="s">
        <v>5195</v>
      </c>
      <c r="N487" s="1" t="s">
        <v>13</v>
      </c>
      <c r="O487" s="1" t="s">
        <v>5196</v>
      </c>
    </row>
    <row r="488" spans="1:15" x14ac:dyDescent="0.4">
      <c r="A488" s="1" t="s">
        <v>5207</v>
      </c>
      <c r="B488" s="1" t="s">
        <v>5199</v>
      </c>
      <c r="C488" s="1" t="s">
        <v>5210</v>
      </c>
      <c r="D488" s="1" t="s">
        <v>5211</v>
      </c>
      <c r="E488" s="1" t="s">
        <v>8027</v>
      </c>
      <c r="F488" s="1" t="s">
        <v>17</v>
      </c>
      <c r="G488" s="4" t="str">
        <f>"07728-1899"</f>
        <v>07728-1899</v>
      </c>
      <c r="H488" s="1">
        <v>0</v>
      </c>
      <c r="I488" s="1">
        <v>0</v>
      </c>
      <c r="J488" s="1">
        <v>0</v>
      </c>
      <c r="K488" s="1">
        <v>0</v>
      </c>
      <c r="L488" s="1" t="s">
        <v>874</v>
      </c>
      <c r="M488" s="1" t="s">
        <v>5208</v>
      </c>
      <c r="N488" s="1" t="s">
        <v>13</v>
      </c>
      <c r="O488" s="1" t="s">
        <v>5209</v>
      </c>
    </row>
    <row r="489" spans="1:15" x14ac:dyDescent="0.4">
      <c r="A489" s="1" t="s">
        <v>5963</v>
      </c>
      <c r="B489" s="1" t="s">
        <v>5955</v>
      </c>
      <c r="C489" s="1" t="s">
        <v>5966</v>
      </c>
      <c r="D489" s="1" t="s">
        <v>2789</v>
      </c>
      <c r="E489" s="1" t="s">
        <v>1503</v>
      </c>
      <c r="F489" s="1" t="s">
        <v>17</v>
      </c>
      <c r="G489" s="4" t="str">
        <f>"07960"</f>
        <v>07960</v>
      </c>
      <c r="H489" s="1">
        <v>0</v>
      </c>
      <c r="I489" s="1">
        <v>0</v>
      </c>
      <c r="J489" s="1">
        <v>0</v>
      </c>
      <c r="K489" s="1">
        <v>0</v>
      </c>
      <c r="L489" s="1" t="s">
        <v>4589</v>
      </c>
      <c r="M489" s="1" t="s">
        <v>5964</v>
      </c>
      <c r="N489" s="1" t="s">
        <v>91</v>
      </c>
      <c r="O489" s="1" t="s">
        <v>5965</v>
      </c>
    </row>
    <row r="490" spans="1:15" x14ac:dyDescent="0.4">
      <c r="A490" s="1" t="s">
        <v>7910</v>
      </c>
      <c r="B490" s="1" t="s">
        <v>7909</v>
      </c>
      <c r="C490" s="1" t="s">
        <v>7914</v>
      </c>
      <c r="D490" s="1" t="s">
        <v>7915</v>
      </c>
      <c r="E490" s="1" t="s">
        <v>55</v>
      </c>
      <c r="F490" s="1" t="s">
        <v>17</v>
      </c>
      <c r="G490" s="4" t="str">
        <f>"07860"</f>
        <v>07860</v>
      </c>
      <c r="H490" s="1">
        <v>0</v>
      </c>
      <c r="I490" s="1">
        <v>0</v>
      </c>
      <c r="J490" s="1">
        <v>0</v>
      </c>
      <c r="K490" s="1">
        <v>17</v>
      </c>
      <c r="L490" s="1" t="s">
        <v>7911</v>
      </c>
      <c r="M490" s="1" t="s">
        <v>7912</v>
      </c>
      <c r="N490" s="1" t="s">
        <v>129</v>
      </c>
      <c r="O490" s="1" t="s">
        <v>7913</v>
      </c>
    </row>
    <row r="491" spans="1:15" x14ac:dyDescent="0.4">
      <c r="A491" s="1" t="s">
        <v>6352</v>
      </c>
      <c r="B491" s="1" t="s">
        <v>6351</v>
      </c>
      <c r="C491" s="1" t="s">
        <v>6355</v>
      </c>
      <c r="D491" s="1" t="s">
        <v>6356</v>
      </c>
      <c r="E491" s="1" t="s">
        <v>8028</v>
      </c>
      <c r="F491" s="1" t="s">
        <v>17</v>
      </c>
      <c r="G491" s="4" t="str">
        <f>"08087"</f>
        <v>08087</v>
      </c>
      <c r="H491" s="1">
        <v>0</v>
      </c>
      <c r="I491" s="1">
        <v>0</v>
      </c>
      <c r="J491" s="1">
        <v>0</v>
      </c>
      <c r="K491" s="1">
        <v>0</v>
      </c>
      <c r="L491" s="1" t="s">
        <v>40</v>
      </c>
      <c r="M491" s="1" t="s">
        <v>6353</v>
      </c>
      <c r="N491" s="1" t="s">
        <v>13</v>
      </c>
      <c r="O491" s="1" t="s">
        <v>6354</v>
      </c>
    </row>
    <row r="492" spans="1:15" x14ac:dyDescent="0.4">
      <c r="A492" s="1" t="s">
        <v>4634</v>
      </c>
      <c r="B492" s="1" t="s">
        <v>4629</v>
      </c>
      <c r="C492" s="1" t="s">
        <v>4637</v>
      </c>
      <c r="D492" s="1" t="s">
        <v>4638</v>
      </c>
      <c r="E492" s="1" t="s">
        <v>4704</v>
      </c>
      <c r="F492" s="1" t="s">
        <v>17</v>
      </c>
      <c r="G492" s="4" t="str">
        <f>"08854-5917"</f>
        <v>08854-5917</v>
      </c>
      <c r="H492" s="1">
        <v>0</v>
      </c>
      <c r="I492" s="1">
        <v>0</v>
      </c>
      <c r="J492" s="1">
        <v>0</v>
      </c>
      <c r="K492" s="1">
        <v>0</v>
      </c>
      <c r="L492" s="1" t="s">
        <v>619</v>
      </c>
      <c r="M492" s="1" t="s">
        <v>4635</v>
      </c>
      <c r="N492" s="1" t="s">
        <v>13</v>
      </c>
      <c r="O492" s="1" t="s">
        <v>4636</v>
      </c>
    </row>
    <row r="493" spans="1:15" x14ac:dyDescent="0.4">
      <c r="A493" s="1" t="s">
        <v>6428</v>
      </c>
      <c r="B493" s="1" t="s">
        <v>6427</v>
      </c>
      <c r="C493" s="1" t="s">
        <v>6430</v>
      </c>
      <c r="D493" s="1" t="s">
        <v>6431</v>
      </c>
      <c r="E493" s="1" t="s">
        <v>8028</v>
      </c>
      <c r="F493" s="1" t="s">
        <v>17</v>
      </c>
      <c r="G493" s="4" t="str">
        <f>"08742"</f>
        <v>08742</v>
      </c>
      <c r="H493" s="1">
        <v>0</v>
      </c>
      <c r="I493" s="1">
        <v>0</v>
      </c>
      <c r="J493" s="1">
        <v>0</v>
      </c>
      <c r="K493" s="1">
        <v>27</v>
      </c>
      <c r="L493" s="1" t="s">
        <v>1639</v>
      </c>
      <c r="M493" s="1" t="s">
        <v>3839</v>
      </c>
      <c r="N493" s="1" t="s">
        <v>13</v>
      </c>
      <c r="O493" s="1" t="s">
        <v>6429</v>
      </c>
    </row>
    <row r="494" spans="1:15" x14ac:dyDescent="0.4">
      <c r="A494" s="1" t="s">
        <v>2196</v>
      </c>
      <c r="B494" s="1" t="s">
        <v>2184</v>
      </c>
      <c r="C494" s="1" t="s">
        <v>2199</v>
      </c>
      <c r="D494" s="1" t="s">
        <v>2190</v>
      </c>
      <c r="E494" s="1" t="s">
        <v>1909</v>
      </c>
      <c r="F494" s="1" t="s">
        <v>17</v>
      </c>
      <c r="G494" s="4" t="str">
        <f>"08109"</f>
        <v>08109</v>
      </c>
      <c r="H494" s="1">
        <v>0</v>
      </c>
      <c r="I494" s="1">
        <v>0</v>
      </c>
      <c r="J494" s="1">
        <v>0</v>
      </c>
      <c r="K494" s="1">
        <v>80</v>
      </c>
      <c r="L494" s="1" t="s">
        <v>683</v>
      </c>
      <c r="M494" s="1" t="s">
        <v>2197</v>
      </c>
      <c r="N494" s="1" t="s">
        <v>13</v>
      </c>
      <c r="O494" s="1" t="s">
        <v>2198</v>
      </c>
    </row>
    <row r="495" spans="1:15" x14ac:dyDescent="0.4">
      <c r="A495" s="1" t="s">
        <v>135</v>
      </c>
      <c r="B495" s="1" t="s">
        <v>133</v>
      </c>
      <c r="C495" s="1" t="s">
        <v>139</v>
      </c>
      <c r="D495" s="1" t="s">
        <v>134</v>
      </c>
      <c r="E495" s="1" t="s">
        <v>8017</v>
      </c>
      <c r="F495" s="1" t="s">
        <v>17</v>
      </c>
      <c r="G495" s="4" t="str">
        <f>"08205"</f>
        <v>08205</v>
      </c>
      <c r="H495" s="1">
        <v>0</v>
      </c>
      <c r="I495" s="1">
        <v>0</v>
      </c>
      <c r="J495" s="1">
        <v>0</v>
      </c>
      <c r="K495" s="1">
        <v>0</v>
      </c>
      <c r="L495" s="1" t="s">
        <v>136</v>
      </c>
      <c r="M495" s="1" t="s">
        <v>137</v>
      </c>
      <c r="N495" s="1" t="s">
        <v>13</v>
      </c>
      <c r="O495" s="1" t="s">
        <v>138</v>
      </c>
    </row>
    <row r="496" spans="1:15" x14ac:dyDescent="0.4">
      <c r="A496" s="1" t="s">
        <v>504</v>
      </c>
      <c r="B496" s="1" t="s">
        <v>503</v>
      </c>
      <c r="C496" s="1" t="s">
        <v>507</v>
      </c>
      <c r="D496" s="1" t="s">
        <v>508</v>
      </c>
      <c r="E496" s="1" t="s">
        <v>8018</v>
      </c>
      <c r="F496" s="1" t="s">
        <v>17</v>
      </c>
      <c r="G496" s="4" t="str">
        <f>"07407-1152"</f>
        <v>07407-1152</v>
      </c>
      <c r="H496" s="1">
        <v>0</v>
      </c>
      <c r="I496" s="1">
        <v>0</v>
      </c>
      <c r="J496" s="1">
        <v>0</v>
      </c>
      <c r="K496" s="1">
        <v>64</v>
      </c>
      <c r="L496" s="1" t="s">
        <v>141</v>
      </c>
      <c r="M496" s="1" t="s">
        <v>505</v>
      </c>
      <c r="N496" s="1" t="s">
        <v>13</v>
      </c>
      <c r="O496" s="1" t="s">
        <v>506</v>
      </c>
    </row>
    <row r="497" spans="1:15" x14ac:dyDescent="0.4">
      <c r="A497" s="1" t="s">
        <v>652</v>
      </c>
      <c r="B497" s="1" t="s">
        <v>648</v>
      </c>
      <c r="C497" s="1" t="s">
        <v>655</v>
      </c>
      <c r="D497" s="1" t="s">
        <v>650</v>
      </c>
      <c r="E497" s="1" t="s">
        <v>8018</v>
      </c>
      <c r="F497" s="1" t="s">
        <v>17</v>
      </c>
      <c r="G497" s="4" t="str">
        <f>"07026-2637"</f>
        <v>07026-2637</v>
      </c>
      <c r="H497" s="1">
        <v>0</v>
      </c>
      <c r="I497" s="1">
        <v>0</v>
      </c>
      <c r="J497" s="1">
        <v>0</v>
      </c>
      <c r="K497" s="1">
        <v>0</v>
      </c>
      <c r="L497" s="1" t="s">
        <v>653</v>
      </c>
      <c r="M497" s="1" t="s">
        <v>8042</v>
      </c>
      <c r="N497" s="1" t="s">
        <v>13</v>
      </c>
      <c r="O497" s="1" t="s">
        <v>654</v>
      </c>
    </row>
    <row r="498" spans="1:15" x14ac:dyDescent="0.4">
      <c r="A498" s="1" t="s">
        <v>656</v>
      </c>
      <c r="B498" s="1" t="s">
        <v>648</v>
      </c>
      <c r="C498" s="1" t="s">
        <v>660</v>
      </c>
      <c r="D498" s="1" t="s">
        <v>650</v>
      </c>
      <c r="E498" s="1" t="s">
        <v>8018</v>
      </c>
      <c r="F498" s="1" t="s">
        <v>17</v>
      </c>
      <c r="G498" s="4" t="str">
        <f>"07026"</f>
        <v>07026</v>
      </c>
      <c r="H498" s="1">
        <v>0</v>
      </c>
      <c r="I498" s="1">
        <v>0</v>
      </c>
      <c r="J498" s="1">
        <v>0</v>
      </c>
      <c r="K498" s="1">
        <v>0</v>
      </c>
      <c r="L498" s="1" t="s">
        <v>657</v>
      </c>
      <c r="M498" s="1" t="s">
        <v>658</v>
      </c>
      <c r="N498" s="1" t="s">
        <v>13</v>
      </c>
      <c r="O498" s="1" t="s">
        <v>659</v>
      </c>
    </row>
    <row r="499" spans="1:15" x14ac:dyDescent="0.4">
      <c r="A499" s="1" t="s">
        <v>3615</v>
      </c>
      <c r="B499" s="1" t="s">
        <v>3614</v>
      </c>
      <c r="C499" s="1" t="s">
        <v>3618</v>
      </c>
      <c r="D499" s="1" t="s">
        <v>3619</v>
      </c>
      <c r="E499" s="1" t="s">
        <v>8020</v>
      </c>
      <c r="F499" s="1" t="s">
        <v>17</v>
      </c>
      <c r="G499" s="4" t="str">
        <f>"08096-6218"</f>
        <v>08096-6218</v>
      </c>
      <c r="H499" s="1">
        <v>0</v>
      </c>
      <c r="I499" s="1">
        <v>0</v>
      </c>
      <c r="J499" s="1">
        <v>0</v>
      </c>
      <c r="K499" s="1">
        <v>0</v>
      </c>
      <c r="L499" s="1" t="s">
        <v>671</v>
      </c>
      <c r="M499" s="1" t="s">
        <v>3616</v>
      </c>
      <c r="N499" s="1" t="s">
        <v>13</v>
      </c>
      <c r="O499" s="1" t="s">
        <v>3617</v>
      </c>
    </row>
    <row r="500" spans="1:15" x14ac:dyDescent="0.4">
      <c r="A500" s="1" t="s">
        <v>3709</v>
      </c>
      <c r="B500" s="1" t="s">
        <v>3708</v>
      </c>
      <c r="C500" s="1" t="s">
        <v>3712</v>
      </c>
      <c r="D500" s="1" t="s">
        <v>3713</v>
      </c>
      <c r="E500" s="1" t="s">
        <v>8020</v>
      </c>
      <c r="F500" s="1" t="s">
        <v>17</v>
      </c>
      <c r="G500" s="4" t="str">
        <f>"08085"</f>
        <v>08085</v>
      </c>
      <c r="H500" s="1">
        <v>0</v>
      </c>
      <c r="I500" s="1">
        <v>0</v>
      </c>
      <c r="J500" s="1">
        <v>0</v>
      </c>
      <c r="K500" s="1">
        <v>0</v>
      </c>
      <c r="L500" s="1" t="s">
        <v>1761</v>
      </c>
      <c r="M500" s="1" t="s">
        <v>3710</v>
      </c>
      <c r="N500" s="1" t="s">
        <v>13</v>
      </c>
      <c r="O500" s="1" t="s">
        <v>3711</v>
      </c>
    </row>
    <row r="501" spans="1:15" x14ac:dyDescent="0.4">
      <c r="A501" s="1" t="s">
        <v>2200</v>
      </c>
      <c r="B501" s="1" t="s">
        <v>2184</v>
      </c>
      <c r="C501" s="1" t="s">
        <v>2203</v>
      </c>
      <c r="D501" s="1" t="s">
        <v>2190</v>
      </c>
      <c r="E501" s="1" t="s">
        <v>1909</v>
      </c>
      <c r="F501" s="1" t="s">
        <v>17</v>
      </c>
      <c r="G501" s="4" t="str">
        <f>"08109-3415"</f>
        <v>08109-3415</v>
      </c>
      <c r="H501" s="1">
        <v>0</v>
      </c>
      <c r="I501" s="1">
        <v>0</v>
      </c>
      <c r="J501" s="1">
        <v>0</v>
      </c>
      <c r="K501" s="1">
        <v>63</v>
      </c>
      <c r="L501" s="1" t="s">
        <v>40</v>
      </c>
      <c r="M501" s="1" t="s">
        <v>2201</v>
      </c>
      <c r="N501" s="1" t="s">
        <v>13</v>
      </c>
      <c r="O501" s="1" t="s">
        <v>2202</v>
      </c>
    </row>
    <row r="502" spans="1:15" x14ac:dyDescent="0.4">
      <c r="A502" s="1" t="s">
        <v>1581</v>
      </c>
      <c r="B502" s="1" t="s">
        <v>1580</v>
      </c>
      <c r="C502" s="1" t="s">
        <v>1584</v>
      </c>
      <c r="D502" s="1" t="s">
        <v>1585</v>
      </c>
      <c r="E502" s="1" t="s">
        <v>8019</v>
      </c>
      <c r="F502" s="1" t="s">
        <v>17</v>
      </c>
      <c r="G502" s="4" t="str">
        <f>"08057"</f>
        <v>08057</v>
      </c>
      <c r="H502" s="1">
        <v>0</v>
      </c>
      <c r="I502" s="1">
        <v>0</v>
      </c>
      <c r="J502" s="1">
        <v>88</v>
      </c>
      <c r="K502" s="1">
        <v>0</v>
      </c>
      <c r="L502" s="1" t="s">
        <v>272</v>
      </c>
      <c r="M502" s="1" t="s">
        <v>1582</v>
      </c>
      <c r="N502" s="1" t="s">
        <v>13</v>
      </c>
      <c r="O502" s="1" t="s">
        <v>1583</v>
      </c>
    </row>
    <row r="503" spans="1:15" x14ac:dyDescent="0.4">
      <c r="A503" s="1" t="s">
        <v>4248</v>
      </c>
      <c r="B503" s="1" t="s">
        <v>4235</v>
      </c>
      <c r="C503" s="1" t="s">
        <v>4252</v>
      </c>
      <c r="D503" s="1" t="s">
        <v>4239</v>
      </c>
      <c r="E503" s="1" t="s">
        <v>8026</v>
      </c>
      <c r="F503" s="1" t="s">
        <v>17</v>
      </c>
      <c r="G503" s="4" t="str">
        <f>"08610-5012"</f>
        <v>08610-5012</v>
      </c>
      <c r="H503" s="1">
        <v>0</v>
      </c>
      <c r="I503" s="1">
        <v>0</v>
      </c>
      <c r="J503" s="1">
        <v>0</v>
      </c>
      <c r="K503" s="1">
        <v>93</v>
      </c>
      <c r="L503" s="1" t="s">
        <v>4249</v>
      </c>
      <c r="M503" s="1" t="s">
        <v>4250</v>
      </c>
      <c r="N503" s="1" t="s">
        <v>13</v>
      </c>
      <c r="O503" s="1" t="s">
        <v>4251</v>
      </c>
    </row>
    <row r="504" spans="1:15" x14ac:dyDescent="0.4">
      <c r="A504" s="1" t="s">
        <v>733</v>
      </c>
      <c r="B504" s="1" t="s">
        <v>728</v>
      </c>
      <c r="C504" s="1" t="s">
        <v>736</v>
      </c>
      <c r="D504" s="1" t="s">
        <v>732</v>
      </c>
      <c r="E504" s="1" t="s">
        <v>8018</v>
      </c>
      <c r="F504" s="1" t="s">
        <v>17</v>
      </c>
      <c r="G504" s="4" t="str">
        <f>"07642-2131"</f>
        <v>07642-2131</v>
      </c>
      <c r="H504" s="1">
        <v>0</v>
      </c>
      <c r="I504" s="1">
        <v>0</v>
      </c>
      <c r="J504" s="1">
        <v>0</v>
      </c>
      <c r="K504" s="1">
        <v>0</v>
      </c>
      <c r="L504" s="1" t="s">
        <v>142</v>
      </c>
      <c r="M504" s="1" t="s">
        <v>734</v>
      </c>
      <c r="N504" s="1" t="s">
        <v>13</v>
      </c>
      <c r="O504" s="1" t="s">
        <v>735</v>
      </c>
    </row>
    <row r="505" spans="1:15" x14ac:dyDescent="0.4">
      <c r="A505" s="1" t="s">
        <v>6357</v>
      </c>
      <c r="B505" s="1" t="s">
        <v>6351</v>
      </c>
      <c r="C505" s="1" t="s">
        <v>6359</v>
      </c>
      <c r="D505" s="1" t="s">
        <v>6356</v>
      </c>
      <c r="E505" s="1" t="s">
        <v>8028</v>
      </c>
      <c r="F505" s="1" t="s">
        <v>17</v>
      </c>
      <c r="G505" s="4" t="str">
        <f>"08087-9750"</f>
        <v>08087-9750</v>
      </c>
      <c r="H505" s="1">
        <v>0</v>
      </c>
      <c r="I505" s="1">
        <v>0</v>
      </c>
      <c r="J505" s="1">
        <v>0</v>
      </c>
      <c r="K505" s="1">
        <v>178</v>
      </c>
      <c r="L505" s="1" t="s">
        <v>428</v>
      </c>
      <c r="M505" s="1" t="s">
        <v>1778</v>
      </c>
      <c r="N505" s="1" t="s">
        <v>13</v>
      </c>
      <c r="O505" s="1" t="s">
        <v>6358</v>
      </c>
    </row>
    <row r="506" spans="1:15" x14ac:dyDescent="0.4">
      <c r="A506" s="1" t="s">
        <v>5362</v>
      </c>
      <c r="B506" s="1" t="s">
        <v>5355</v>
      </c>
      <c r="C506" s="1" t="s">
        <v>5365</v>
      </c>
      <c r="D506" s="1" t="s">
        <v>5366</v>
      </c>
      <c r="E506" s="1" t="s">
        <v>8027</v>
      </c>
      <c r="F506" s="1" t="s">
        <v>17</v>
      </c>
      <c r="G506" s="4" t="str">
        <f>"07740"</f>
        <v>07740</v>
      </c>
      <c r="H506" s="1">
        <v>0</v>
      </c>
      <c r="I506" s="1">
        <v>0</v>
      </c>
      <c r="J506" s="1">
        <v>0</v>
      </c>
      <c r="K506" s="1">
        <v>2</v>
      </c>
      <c r="L506" s="1" t="s">
        <v>18</v>
      </c>
      <c r="M506" s="1" t="s">
        <v>5363</v>
      </c>
      <c r="N506" s="1" t="s">
        <v>13</v>
      </c>
      <c r="O506" s="1" t="s">
        <v>5364</v>
      </c>
    </row>
    <row r="507" spans="1:15" x14ac:dyDescent="0.4">
      <c r="A507" s="1" t="s">
        <v>164</v>
      </c>
      <c r="B507" s="1" t="s">
        <v>163</v>
      </c>
      <c r="C507" s="1" t="s">
        <v>168</v>
      </c>
      <c r="D507" s="1" t="s">
        <v>53</v>
      </c>
      <c r="E507" s="1" t="s">
        <v>8017</v>
      </c>
      <c r="F507" s="1" t="s">
        <v>17</v>
      </c>
      <c r="G507" s="4" t="str">
        <f>"08330"</f>
        <v>08330</v>
      </c>
      <c r="H507" s="1">
        <v>0</v>
      </c>
      <c r="I507" s="1">
        <v>0</v>
      </c>
      <c r="J507" s="1">
        <v>0</v>
      </c>
      <c r="K507" s="1">
        <v>0</v>
      </c>
      <c r="L507" s="1" t="s">
        <v>165</v>
      </c>
      <c r="M507" s="1" t="s">
        <v>166</v>
      </c>
      <c r="N507" s="1" t="s">
        <v>13</v>
      </c>
      <c r="O507" s="1" t="s">
        <v>167</v>
      </c>
    </row>
    <row r="508" spans="1:15" x14ac:dyDescent="0.4">
      <c r="A508" s="1" t="s">
        <v>1064</v>
      </c>
      <c r="B508" s="1" t="s">
        <v>1058</v>
      </c>
      <c r="C508" s="1" t="s">
        <v>1067</v>
      </c>
      <c r="D508" s="1" t="s">
        <v>1063</v>
      </c>
      <c r="E508" s="1" t="s">
        <v>8018</v>
      </c>
      <c r="F508" s="1" t="s">
        <v>17</v>
      </c>
      <c r="G508" s="4" t="str">
        <f>"07451"</f>
        <v>07451</v>
      </c>
      <c r="H508" s="1">
        <v>0</v>
      </c>
      <c r="I508" s="1">
        <v>0</v>
      </c>
      <c r="J508" s="1">
        <v>0</v>
      </c>
      <c r="K508" s="1">
        <v>0</v>
      </c>
      <c r="L508" s="1" t="s">
        <v>128</v>
      </c>
      <c r="M508" s="1" t="s">
        <v>1065</v>
      </c>
      <c r="N508" s="1" t="s">
        <v>13</v>
      </c>
      <c r="O508" s="1" t="s">
        <v>1066</v>
      </c>
    </row>
    <row r="509" spans="1:15" x14ac:dyDescent="0.4">
      <c r="A509" s="1" t="s">
        <v>1064</v>
      </c>
      <c r="B509" s="1" t="s">
        <v>6857</v>
      </c>
      <c r="C509" s="1" t="s">
        <v>6868</v>
      </c>
      <c r="D509" s="1" t="s">
        <v>6682</v>
      </c>
      <c r="E509" s="1" t="s">
        <v>8018</v>
      </c>
      <c r="F509" s="1" t="s">
        <v>17</v>
      </c>
      <c r="G509" s="4" t="str">
        <f>"07470-5551"</f>
        <v>07470-5551</v>
      </c>
      <c r="H509" s="1">
        <v>0</v>
      </c>
      <c r="I509" s="1">
        <v>0</v>
      </c>
      <c r="J509" s="1">
        <v>0</v>
      </c>
      <c r="K509" s="1">
        <v>0</v>
      </c>
      <c r="L509" s="1" t="s">
        <v>6866</v>
      </c>
      <c r="M509" s="1" t="s">
        <v>83</v>
      </c>
      <c r="N509" s="1" t="s">
        <v>13</v>
      </c>
      <c r="O509" s="1" t="s">
        <v>6867</v>
      </c>
    </row>
    <row r="510" spans="1:15" x14ac:dyDescent="0.4">
      <c r="A510" s="1" t="s">
        <v>4434</v>
      </c>
      <c r="B510" s="1" t="s">
        <v>4393</v>
      </c>
      <c r="C510" s="1" t="s">
        <v>4438</v>
      </c>
      <c r="D510" s="1" t="s">
        <v>2600</v>
      </c>
      <c r="E510" s="1" t="s">
        <v>8026</v>
      </c>
      <c r="F510" s="1" t="s">
        <v>17</v>
      </c>
      <c r="G510" s="4" t="str">
        <f>"08611"</f>
        <v>08611</v>
      </c>
      <c r="H510" s="1">
        <v>0</v>
      </c>
      <c r="I510" s="1">
        <v>0</v>
      </c>
      <c r="J510" s="1">
        <v>0</v>
      </c>
      <c r="K510" s="1">
        <v>90</v>
      </c>
      <c r="L510" s="1" t="s">
        <v>4435</v>
      </c>
      <c r="M510" s="1" t="s">
        <v>4436</v>
      </c>
      <c r="N510" s="1" t="s">
        <v>13</v>
      </c>
      <c r="O510" s="1" t="s">
        <v>4437</v>
      </c>
    </row>
    <row r="511" spans="1:15" x14ac:dyDescent="0.4">
      <c r="A511" s="1" t="s">
        <v>1611</v>
      </c>
      <c r="B511" s="1" t="s">
        <v>1605</v>
      </c>
      <c r="C511" s="1" t="s">
        <v>1614</v>
      </c>
      <c r="D511" s="1" t="s">
        <v>1610</v>
      </c>
      <c r="E511" s="1" t="s">
        <v>8019</v>
      </c>
      <c r="F511" s="1" t="s">
        <v>17</v>
      </c>
      <c r="G511" s="4" t="str">
        <f>"08060-9622"</f>
        <v>08060-9622</v>
      </c>
      <c r="H511" s="1">
        <v>0</v>
      </c>
      <c r="I511" s="1">
        <v>0</v>
      </c>
      <c r="J511" s="1">
        <v>0</v>
      </c>
      <c r="K511" s="1">
        <v>0</v>
      </c>
      <c r="L511" s="1" t="s">
        <v>40</v>
      </c>
      <c r="M511" s="1" t="s">
        <v>1612</v>
      </c>
      <c r="N511" s="1" t="s">
        <v>13</v>
      </c>
      <c r="O511" s="1" t="s">
        <v>1613</v>
      </c>
    </row>
    <row r="512" spans="1:15" x14ac:dyDescent="0.4">
      <c r="A512" s="1" t="s">
        <v>509</v>
      </c>
      <c r="B512" s="1" t="s">
        <v>503</v>
      </c>
      <c r="C512" s="1" t="s">
        <v>512</v>
      </c>
      <c r="D512" s="1" t="s">
        <v>508</v>
      </c>
      <c r="E512" s="1" t="s">
        <v>8018</v>
      </c>
      <c r="F512" s="1" t="s">
        <v>17</v>
      </c>
      <c r="G512" s="4" t="str">
        <f>"07407"</f>
        <v>07407</v>
      </c>
      <c r="H512" s="1">
        <v>0</v>
      </c>
      <c r="I512" s="1">
        <v>0</v>
      </c>
      <c r="J512" s="1">
        <v>0</v>
      </c>
      <c r="K512" s="1">
        <v>71</v>
      </c>
      <c r="L512" s="1" t="s">
        <v>158</v>
      </c>
      <c r="M512" s="1" t="s">
        <v>510</v>
      </c>
      <c r="N512" s="1" t="s">
        <v>13</v>
      </c>
      <c r="O512" s="1" t="s">
        <v>511</v>
      </c>
    </row>
    <row r="513" spans="1:15" x14ac:dyDescent="0.4">
      <c r="A513" s="1" t="s">
        <v>4230</v>
      </c>
      <c r="B513" s="1" t="s">
        <v>4220</v>
      </c>
      <c r="C513" s="1" t="s">
        <v>4234</v>
      </c>
      <c r="D513" s="1" t="s">
        <v>4225</v>
      </c>
      <c r="E513" s="1" t="s">
        <v>8026</v>
      </c>
      <c r="F513" s="1" t="s">
        <v>17</v>
      </c>
      <c r="G513" s="4" t="str">
        <f>"08618-1409"</f>
        <v>08618-1409</v>
      </c>
      <c r="H513" s="1">
        <v>0</v>
      </c>
      <c r="I513" s="1">
        <v>0</v>
      </c>
      <c r="J513" s="1">
        <v>0</v>
      </c>
      <c r="K513" s="1">
        <v>0</v>
      </c>
      <c r="L513" s="1" t="s">
        <v>4231</v>
      </c>
      <c r="M513" s="1" t="s">
        <v>4232</v>
      </c>
      <c r="N513" s="1" t="s">
        <v>13</v>
      </c>
      <c r="O513" s="1" t="s">
        <v>4233</v>
      </c>
    </row>
    <row r="514" spans="1:15" x14ac:dyDescent="0.4">
      <c r="A514" s="1" t="s">
        <v>3628</v>
      </c>
      <c r="B514" s="1" t="s">
        <v>3620</v>
      </c>
      <c r="C514" s="1" t="s">
        <v>3632</v>
      </c>
      <c r="D514" s="1" t="s">
        <v>3626</v>
      </c>
      <c r="E514" s="1" t="s">
        <v>8020</v>
      </c>
      <c r="F514" s="1" t="s">
        <v>17</v>
      </c>
      <c r="G514" s="4" t="str">
        <f>"08028"</f>
        <v>08028</v>
      </c>
      <c r="H514" s="1">
        <v>0</v>
      </c>
      <c r="I514" s="1">
        <v>0</v>
      </c>
      <c r="J514" s="1">
        <v>0</v>
      </c>
      <c r="K514" s="1">
        <v>0</v>
      </c>
      <c r="L514" s="1" t="s">
        <v>3629</v>
      </c>
      <c r="M514" s="1" t="s">
        <v>3630</v>
      </c>
      <c r="N514" s="1" t="s">
        <v>13</v>
      </c>
      <c r="O514" s="1" t="s">
        <v>3631</v>
      </c>
    </row>
    <row r="515" spans="1:15" x14ac:dyDescent="0.4">
      <c r="A515" s="1" t="s">
        <v>7386</v>
      </c>
      <c r="B515" s="1" t="s">
        <v>7380</v>
      </c>
      <c r="C515" s="1" t="s">
        <v>7389</v>
      </c>
      <c r="D515" s="1" t="s">
        <v>7385</v>
      </c>
      <c r="E515" s="1" t="s">
        <v>8030</v>
      </c>
      <c r="F515" s="1" t="s">
        <v>17</v>
      </c>
      <c r="G515" s="4" t="str">
        <f>"07462-0516"</f>
        <v>07462-0516</v>
      </c>
      <c r="H515" s="1">
        <v>0</v>
      </c>
      <c r="I515" s="1">
        <v>0</v>
      </c>
      <c r="J515" s="1">
        <v>0</v>
      </c>
      <c r="K515" s="1">
        <v>0</v>
      </c>
      <c r="L515" s="1" t="s">
        <v>1173</v>
      </c>
      <c r="M515" s="1" t="s">
        <v>7387</v>
      </c>
      <c r="N515" s="1" t="s">
        <v>13</v>
      </c>
      <c r="O515" s="1" t="s">
        <v>7388</v>
      </c>
    </row>
    <row r="516" spans="1:15" x14ac:dyDescent="0.4">
      <c r="A516" s="1" t="s">
        <v>3105</v>
      </c>
      <c r="B516" s="1" t="s">
        <v>3096</v>
      </c>
      <c r="C516" s="1" t="s">
        <v>3108</v>
      </c>
      <c r="D516" s="1" t="s">
        <v>3104</v>
      </c>
      <c r="E516" s="1" t="s">
        <v>8024</v>
      </c>
      <c r="F516" s="1" t="s">
        <v>17</v>
      </c>
      <c r="G516" s="4" t="str">
        <f>"07028-1228"</f>
        <v>07028-1228</v>
      </c>
      <c r="H516" s="1">
        <v>0</v>
      </c>
      <c r="I516" s="1">
        <v>0</v>
      </c>
      <c r="J516" s="1">
        <v>0</v>
      </c>
      <c r="K516" s="1">
        <v>0</v>
      </c>
      <c r="L516" s="1" t="s">
        <v>434</v>
      </c>
      <c r="M516" s="1" t="s">
        <v>3106</v>
      </c>
      <c r="N516" s="1" t="s">
        <v>13</v>
      </c>
      <c r="O516" s="1" t="s">
        <v>3107</v>
      </c>
    </row>
    <row r="517" spans="1:15" x14ac:dyDescent="0.4">
      <c r="A517" s="1" t="s">
        <v>688</v>
      </c>
      <c r="B517" s="1" t="s">
        <v>673</v>
      </c>
      <c r="C517" s="1" t="s">
        <v>691</v>
      </c>
      <c r="D517" s="1" t="s">
        <v>678</v>
      </c>
      <c r="E517" s="1" t="s">
        <v>8018</v>
      </c>
      <c r="F517" s="1" t="s">
        <v>17</v>
      </c>
      <c r="G517" s="4" t="str">
        <f>"07452-2328"</f>
        <v>07452-2328</v>
      </c>
      <c r="H517" s="1">
        <v>0</v>
      </c>
      <c r="I517" s="1">
        <v>0</v>
      </c>
      <c r="J517" s="1">
        <v>0</v>
      </c>
      <c r="K517" s="1">
        <v>0</v>
      </c>
      <c r="L517" s="1" t="s">
        <v>272</v>
      </c>
      <c r="M517" s="1" t="s">
        <v>689</v>
      </c>
      <c r="N517" s="1" t="s">
        <v>13</v>
      </c>
      <c r="O517" s="1" t="s">
        <v>690</v>
      </c>
    </row>
    <row r="518" spans="1:15" x14ac:dyDescent="0.4">
      <c r="A518" s="1" t="s">
        <v>692</v>
      </c>
      <c r="B518" s="1" t="s">
        <v>673</v>
      </c>
      <c r="C518" s="1" t="s">
        <v>693</v>
      </c>
      <c r="D518" s="1" t="s">
        <v>678</v>
      </c>
      <c r="E518" s="1" t="s">
        <v>8018</v>
      </c>
      <c r="F518" s="1" t="s">
        <v>17</v>
      </c>
      <c r="G518" s="4" t="str">
        <f>"07452"</f>
        <v>07452</v>
      </c>
      <c r="H518" s="1">
        <v>0</v>
      </c>
      <c r="I518" s="1">
        <v>0</v>
      </c>
      <c r="J518" s="1">
        <v>0</v>
      </c>
      <c r="K518" s="1">
        <v>0</v>
      </c>
      <c r="L518" s="1" t="s">
        <v>272</v>
      </c>
      <c r="M518" s="1" t="s">
        <v>689</v>
      </c>
      <c r="N518" s="1" t="s">
        <v>13</v>
      </c>
      <c r="O518" s="1" t="s">
        <v>690</v>
      </c>
    </row>
    <row r="519" spans="1:15" x14ac:dyDescent="0.4">
      <c r="A519" s="1" t="s">
        <v>2059</v>
      </c>
      <c r="B519" s="1" t="s">
        <v>2047</v>
      </c>
      <c r="C519" s="1" t="s">
        <v>2061</v>
      </c>
      <c r="D519" s="1" t="s">
        <v>2062</v>
      </c>
      <c r="E519" s="1" t="s">
        <v>1909</v>
      </c>
      <c r="F519" s="1" t="s">
        <v>17</v>
      </c>
      <c r="G519" s="4" t="str">
        <f>"08029"</f>
        <v>08029</v>
      </c>
      <c r="H519" s="1">
        <v>0</v>
      </c>
      <c r="I519" s="1">
        <v>0</v>
      </c>
      <c r="J519" s="1">
        <v>0</v>
      </c>
      <c r="K519" s="1">
        <v>38</v>
      </c>
      <c r="L519" s="1" t="s">
        <v>632</v>
      </c>
      <c r="M519" s="1" t="s">
        <v>1848</v>
      </c>
      <c r="N519" s="1" t="s">
        <v>13</v>
      </c>
      <c r="O519" s="1" t="s">
        <v>2060</v>
      </c>
    </row>
    <row r="520" spans="1:15" x14ac:dyDescent="0.4">
      <c r="A520" s="1" t="s">
        <v>3225</v>
      </c>
      <c r="B520" s="1" t="s">
        <v>3202</v>
      </c>
      <c r="C520" s="1" t="s">
        <v>3228</v>
      </c>
      <c r="D520" s="1" t="s">
        <v>3219</v>
      </c>
      <c r="E520" s="1" t="s">
        <v>8024</v>
      </c>
      <c r="F520" s="1" t="s">
        <v>17</v>
      </c>
      <c r="G520" s="4" t="str">
        <f>"07042-4513"</f>
        <v>07042-4513</v>
      </c>
      <c r="H520" s="1">
        <v>0</v>
      </c>
      <c r="I520" s="1">
        <v>0</v>
      </c>
      <c r="J520" s="1">
        <v>0</v>
      </c>
      <c r="K520" s="1">
        <v>0</v>
      </c>
      <c r="L520" s="1" t="s">
        <v>3226</v>
      </c>
      <c r="M520" s="1" t="s">
        <v>3139</v>
      </c>
      <c r="N520" s="1" t="s">
        <v>1183</v>
      </c>
      <c r="O520" s="1" t="s">
        <v>3227</v>
      </c>
    </row>
    <row r="521" spans="1:15" x14ac:dyDescent="0.4">
      <c r="A521" s="1" t="s">
        <v>2089</v>
      </c>
      <c r="B521" s="1" t="s">
        <v>2084</v>
      </c>
      <c r="C521" s="1" t="s">
        <v>2092</v>
      </c>
      <c r="D521" s="1" t="s">
        <v>2088</v>
      </c>
      <c r="E521" s="1" t="s">
        <v>1909</v>
      </c>
      <c r="F521" s="1" t="s">
        <v>17</v>
      </c>
      <c r="G521" s="4" t="str">
        <f>"08035"</f>
        <v>08035</v>
      </c>
      <c r="H521" s="1">
        <v>0</v>
      </c>
      <c r="I521" s="1">
        <v>0</v>
      </c>
      <c r="J521" s="1">
        <v>0</v>
      </c>
      <c r="K521" s="1">
        <v>40</v>
      </c>
      <c r="L521" s="1" t="s">
        <v>700</v>
      </c>
      <c r="M521" s="1" t="s">
        <v>2090</v>
      </c>
      <c r="N521" s="1" t="s">
        <v>13</v>
      </c>
      <c r="O521" s="1" t="s">
        <v>2091</v>
      </c>
    </row>
    <row r="522" spans="1:15" x14ac:dyDescent="0.4">
      <c r="A522" s="1" t="s">
        <v>3181</v>
      </c>
      <c r="B522" s="1" t="s">
        <v>3176</v>
      </c>
      <c r="C522" s="1" t="s">
        <v>3184</v>
      </c>
      <c r="D522" s="1" t="s">
        <v>3180</v>
      </c>
      <c r="E522" s="1" t="s">
        <v>8024</v>
      </c>
      <c r="F522" s="1" t="s">
        <v>17</v>
      </c>
      <c r="G522" s="4" t="str">
        <f>"07078"</f>
        <v>07078</v>
      </c>
      <c r="H522" s="1">
        <v>0</v>
      </c>
      <c r="I522" s="1">
        <v>0</v>
      </c>
      <c r="J522" s="1">
        <v>0</v>
      </c>
      <c r="K522" s="1">
        <v>40</v>
      </c>
      <c r="L522" s="1" t="s">
        <v>128</v>
      </c>
      <c r="M522" s="1" t="s">
        <v>3182</v>
      </c>
      <c r="N522" s="1" t="s">
        <v>13</v>
      </c>
      <c r="O522" s="1" t="s">
        <v>3183</v>
      </c>
    </row>
    <row r="523" spans="1:15" x14ac:dyDescent="0.4">
      <c r="A523" s="1" t="s">
        <v>2896</v>
      </c>
      <c r="B523" s="1" t="s">
        <v>2878</v>
      </c>
      <c r="C523" s="1" t="s">
        <v>2900</v>
      </c>
      <c r="D523" s="1" t="s">
        <v>2796</v>
      </c>
      <c r="E523" s="1" t="s">
        <v>8023</v>
      </c>
      <c r="F523" s="1" t="s">
        <v>17</v>
      </c>
      <c r="G523" s="4" t="str">
        <f>"08360-3001"</f>
        <v>08360-3001</v>
      </c>
      <c r="H523" s="1">
        <v>0</v>
      </c>
      <c r="I523" s="1">
        <v>0</v>
      </c>
      <c r="J523" s="1">
        <v>0</v>
      </c>
      <c r="K523" s="1">
        <v>125</v>
      </c>
      <c r="L523" s="1" t="s">
        <v>2897</v>
      </c>
      <c r="M523" s="1" t="s">
        <v>2898</v>
      </c>
      <c r="N523" s="1" t="s">
        <v>13</v>
      </c>
      <c r="O523" s="1" t="s">
        <v>2899</v>
      </c>
    </row>
    <row r="524" spans="1:15" x14ac:dyDescent="0.4">
      <c r="A524" s="1" t="s">
        <v>2039</v>
      </c>
      <c r="B524" s="1" t="s">
        <v>2037</v>
      </c>
      <c r="C524" s="1" t="s">
        <v>2041</v>
      </c>
      <c r="D524" s="1" t="s">
        <v>2038</v>
      </c>
      <c r="E524" s="1" t="s">
        <v>1909</v>
      </c>
      <c r="F524" s="1" t="s">
        <v>17</v>
      </c>
      <c r="G524" s="4" t="str">
        <f>"08030"</f>
        <v>08030</v>
      </c>
      <c r="H524" s="1">
        <v>0</v>
      </c>
      <c r="I524" s="1">
        <v>0</v>
      </c>
      <c r="J524" s="1">
        <v>0</v>
      </c>
      <c r="K524" s="1">
        <v>0</v>
      </c>
      <c r="L524" s="1" t="s">
        <v>906</v>
      </c>
      <c r="M524" s="1" t="s">
        <v>1426</v>
      </c>
      <c r="N524" s="1" t="s">
        <v>13</v>
      </c>
      <c r="O524" s="1" t="s">
        <v>2040</v>
      </c>
    </row>
    <row r="525" spans="1:15" x14ac:dyDescent="0.4">
      <c r="A525" s="1" t="s">
        <v>2042</v>
      </c>
      <c r="B525" s="1" t="s">
        <v>2037</v>
      </c>
      <c r="C525" s="1" t="s">
        <v>2045</v>
      </c>
      <c r="D525" s="1" t="s">
        <v>2046</v>
      </c>
      <c r="E525" s="1" t="s">
        <v>1909</v>
      </c>
      <c r="F525" s="1" t="s">
        <v>17</v>
      </c>
      <c r="G525" s="4" t="str">
        <f>"08030"</f>
        <v>08030</v>
      </c>
      <c r="H525" s="1">
        <v>0</v>
      </c>
      <c r="I525" s="1">
        <v>0</v>
      </c>
      <c r="J525" s="1">
        <v>0</v>
      </c>
      <c r="K525" s="1">
        <v>0</v>
      </c>
      <c r="L525" s="1" t="s">
        <v>224</v>
      </c>
      <c r="M525" s="1" t="s">
        <v>2043</v>
      </c>
      <c r="N525" s="1" t="s">
        <v>13</v>
      </c>
      <c r="O525" s="1" t="s">
        <v>2044</v>
      </c>
    </row>
    <row r="526" spans="1:15" x14ac:dyDescent="0.4">
      <c r="A526" s="1" t="s">
        <v>3643</v>
      </c>
      <c r="B526" s="1" t="s">
        <v>3638</v>
      </c>
      <c r="C526" s="1" t="s">
        <v>3642</v>
      </c>
      <c r="D526" s="1" t="s">
        <v>3637</v>
      </c>
      <c r="E526" s="1" t="s">
        <v>8020</v>
      </c>
      <c r="F526" s="1" t="s">
        <v>17</v>
      </c>
      <c r="G526" s="4" t="str">
        <f>"08080-9510"</f>
        <v>08080-9510</v>
      </c>
      <c r="H526" s="1">
        <v>0</v>
      </c>
      <c r="I526" s="1">
        <v>0</v>
      </c>
      <c r="J526" s="1">
        <v>0</v>
      </c>
      <c r="K526" s="1">
        <v>0</v>
      </c>
      <c r="L526" s="1" t="s">
        <v>3639</v>
      </c>
      <c r="M526" s="1" t="s">
        <v>3640</v>
      </c>
      <c r="N526" s="1" t="s">
        <v>13</v>
      </c>
      <c r="O526" s="1" t="s">
        <v>3641</v>
      </c>
    </row>
    <row r="527" spans="1:15" x14ac:dyDescent="0.4">
      <c r="A527" s="1" t="s">
        <v>2064</v>
      </c>
      <c r="B527" s="1" t="s">
        <v>2047</v>
      </c>
      <c r="C527" s="1" t="s">
        <v>2068</v>
      </c>
      <c r="D527" s="1" t="s">
        <v>1861</v>
      </c>
      <c r="E527" s="1" t="s">
        <v>1909</v>
      </c>
      <c r="F527" s="1" t="s">
        <v>17</v>
      </c>
      <c r="G527" s="4" t="str">
        <f>"08012-2996"</f>
        <v>08012-2996</v>
      </c>
      <c r="H527" s="1">
        <v>1</v>
      </c>
      <c r="I527" s="1">
        <v>0.4</v>
      </c>
      <c r="J527" s="1">
        <v>0</v>
      </c>
      <c r="K527" s="1">
        <v>36</v>
      </c>
      <c r="L527" s="1" t="s">
        <v>2065</v>
      </c>
      <c r="M527" s="1" t="s">
        <v>2066</v>
      </c>
      <c r="N527" s="1" t="s">
        <v>13</v>
      </c>
      <c r="O527" s="1" t="s">
        <v>2067</v>
      </c>
    </row>
    <row r="528" spans="1:15" x14ac:dyDescent="0.4">
      <c r="A528" s="1" t="s">
        <v>3581</v>
      </c>
      <c r="B528" s="1" t="s">
        <v>3570</v>
      </c>
      <c r="C528" s="1" t="s">
        <v>3583</v>
      </c>
      <c r="D528" s="1" t="s">
        <v>3571</v>
      </c>
      <c r="E528" s="1" t="s">
        <v>8020</v>
      </c>
      <c r="F528" s="1" t="s">
        <v>17</v>
      </c>
      <c r="G528" s="4" t="str">
        <f>"08096-6101"</f>
        <v>08096-6101</v>
      </c>
      <c r="H528" s="1">
        <v>0</v>
      </c>
      <c r="I528" s="1">
        <v>0</v>
      </c>
      <c r="J528" s="1">
        <v>0</v>
      </c>
      <c r="K528" s="1">
        <v>0</v>
      </c>
      <c r="L528" s="1" t="s">
        <v>1794</v>
      </c>
      <c r="M528" s="1" t="s">
        <v>441</v>
      </c>
      <c r="N528" s="1" t="s">
        <v>13</v>
      </c>
      <c r="O528" s="1" t="s">
        <v>3582</v>
      </c>
    </row>
    <row r="529" spans="1:15" x14ac:dyDescent="0.4">
      <c r="A529" s="1" t="s">
        <v>3357</v>
      </c>
      <c r="B529" s="1" t="s">
        <v>3356</v>
      </c>
      <c r="C529" s="1" t="s">
        <v>3360</v>
      </c>
      <c r="D529" s="1" t="s">
        <v>3361</v>
      </c>
      <c r="E529" s="1" t="s">
        <v>8024</v>
      </c>
      <c r="F529" s="1" t="s">
        <v>17</v>
      </c>
      <c r="G529" s="4" t="str">
        <f>"07006"</f>
        <v>07006</v>
      </c>
      <c r="H529" s="1">
        <v>0</v>
      </c>
      <c r="I529" s="1">
        <v>0</v>
      </c>
      <c r="J529" s="1">
        <v>0</v>
      </c>
      <c r="K529" s="1">
        <v>0</v>
      </c>
      <c r="L529" s="1" t="s">
        <v>2344</v>
      </c>
      <c r="M529" s="1" t="s">
        <v>3358</v>
      </c>
      <c r="N529" s="1" t="s">
        <v>13</v>
      </c>
      <c r="O529" s="1" t="s">
        <v>3359</v>
      </c>
    </row>
    <row r="530" spans="1:15" x14ac:dyDescent="0.4">
      <c r="A530" s="1" t="s">
        <v>3714</v>
      </c>
      <c r="B530" s="1" t="s">
        <v>3708</v>
      </c>
      <c r="C530" s="1" t="s">
        <v>3717</v>
      </c>
      <c r="D530" s="1" t="s">
        <v>3713</v>
      </c>
      <c r="E530" s="1" t="s">
        <v>8020</v>
      </c>
      <c r="F530" s="1" t="s">
        <v>17</v>
      </c>
      <c r="G530" s="4" t="str">
        <f>"08085"</f>
        <v>08085</v>
      </c>
      <c r="H530" s="1">
        <v>0</v>
      </c>
      <c r="I530" s="1">
        <v>0</v>
      </c>
      <c r="J530" s="1">
        <v>0</v>
      </c>
      <c r="K530" s="1">
        <v>0</v>
      </c>
      <c r="L530" s="1" t="s">
        <v>38</v>
      </c>
      <c r="M530" s="1" t="s">
        <v>3715</v>
      </c>
      <c r="N530" s="1" t="s">
        <v>13</v>
      </c>
      <c r="O530" s="1" t="s">
        <v>3716</v>
      </c>
    </row>
    <row r="531" spans="1:15" x14ac:dyDescent="0.4">
      <c r="A531" s="1" t="s">
        <v>7412</v>
      </c>
      <c r="B531" s="1" t="s">
        <v>7406</v>
      </c>
      <c r="C531" s="1" t="s">
        <v>7414</v>
      </c>
      <c r="D531" s="1" t="s">
        <v>7415</v>
      </c>
      <c r="E531" s="1" t="s">
        <v>7833</v>
      </c>
      <c r="F531" s="1" t="s">
        <v>17</v>
      </c>
      <c r="G531" s="4" t="str">
        <f>"07922"</f>
        <v>07922</v>
      </c>
      <c r="H531" s="1">
        <v>0</v>
      </c>
      <c r="I531" s="1">
        <v>0</v>
      </c>
      <c r="J531" s="1">
        <v>0</v>
      </c>
      <c r="K531" s="1">
        <v>0</v>
      </c>
      <c r="L531" s="1" t="s">
        <v>306</v>
      </c>
      <c r="M531" s="1" t="s">
        <v>2597</v>
      </c>
      <c r="N531" s="1" t="s">
        <v>13</v>
      </c>
      <c r="O531" s="1" t="s">
        <v>7413</v>
      </c>
    </row>
    <row r="532" spans="1:15" x14ac:dyDescent="0.4">
      <c r="A532" s="1" t="s">
        <v>4439</v>
      </c>
      <c r="B532" s="1" t="s">
        <v>4393</v>
      </c>
      <c r="C532" s="1" t="s">
        <v>4443</v>
      </c>
      <c r="D532" s="1" t="s">
        <v>2600</v>
      </c>
      <c r="E532" s="1" t="s">
        <v>8026</v>
      </c>
      <c r="F532" s="1" t="s">
        <v>17</v>
      </c>
      <c r="G532" s="4" t="str">
        <f>"08610"</f>
        <v>08610</v>
      </c>
      <c r="H532" s="1">
        <v>0</v>
      </c>
      <c r="I532" s="1">
        <v>0</v>
      </c>
      <c r="J532" s="1">
        <v>0</v>
      </c>
      <c r="K532" s="1">
        <v>0</v>
      </c>
      <c r="L532" s="1" t="s">
        <v>4440</v>
      </c>
      <c r="M532" s="1" t="s">
        <v>4441</v>
      </c>
      <c r="N532" s="1" t="s">
        <v>13</v>
      </c>
      <c r="O532" s="1" t="s">
        <v>4442</v>
      </c>
    </row>
    <row r="533" spans="1:15" x14ac:dyDescent="0.4">
      <c r="A533" s="1" t="s">
        <v>4665</v>
      </c>
      <c r="B533" s="1" t="s">
        <v>4664</v>
      </c>
      <c r="C533" s="1" t="s">
        <v>4668</v>
      </c>
      <c r="D533" s="1" t="s">
        <v>4669</v>
      </c>
      <c r="E533" s="1" t="s">
        <v>4704</v>
      </c>
      <c r="F533" s="1" t="s">
        <v>17</v>
      </c>
      <c r="G533" s="4" t="str">
        <f>"08831-1457"</f>
        <v>08831-1457</v>
      </c>
      <c r="H533" s="1">
        <v>0</v>
      </c>
      <c r="I533" s="1">
        <v>0</v>
      </c>
      <c r="J533" s="1">
        <v>0</v>
      </c>
      <c r="K533" s="1">
        <v>0</v>
      </c>
      <c r="L533" s="1" t="s">
        <v>2217</v>
      </c>
      <c r="M533" s="1" t="s">
        <v>4666</v>
      </c>
      <c r="N533" s="1" t="s">
        <v>13</v>
      </c>
      <c r="O533" s="1" t="s">
        <v>4667</v>
      </c>
    </row>
    <row r="534" spans="1:15" x14ac:dyDescent="0.4">
      <c r="A534" s="1" t="s">
        <v>4199</v>
      </c>
      <c r="B534" s="1" t="s">
        <v>4193</v>
      </c>
      <c r="C534" s="1" t="s">
        <v>4202</v>
      </c>
      <c r="D534" s="1" t="s">
        <v>4203</v>
      </c>
      <c r="E534" s="1" t="s">
        <v>8026</v>
      </c>
      <c r="F534" s="1" t="s">
        <v>17</v>
      </c>
      <c r="G534" s="4" t="str">
        <f>"08520"</f>
        <v>08520</v>
      </c>
      <c r="H534" s="1">
        <v>0</v>
      </c>
      <c r="I534" s="1">
        <v>0</v>
      </c>
      <c r="J534" s="1">
        <v>0</v>
      </c>
      <c r="K534" s="1">
        <v>0</v>
      </c>
      <c r="L534" s="1" t="s">
        <v>199</v>
      </c>
      <c r="M534" s="1" t="s">
        <v>4200</v>
      </c>
      <c r="N534" s="1" t="s">
        <v>13</v>
      </c>
      <c r="O534" s="1" t="s">
        <v>4201</v>
      </c>
    </row>
    <row r="535" spans="1:15" x14ac:dyDescent="0.4">
      <c r="A535" s="1" t="s">
        <v>7708</v>
      </c>
      <c r="B535" s="1" t="s">
        <v>7702</v>
      </c>
      <c r="C535" s="1" t="s">
        <v>7711</v>
      </c>
      <c r="D535" s="1" t="s">
        <v>7707</v>
      </c>
      <c r="E535" s="1" t="s">
        <v>7833</v>
      </c>
      <c r="F535" s="1" t="s">
        <v>17</v>
      </c>
      <c r="G535" s="4" t="str">
        <f>"07203"</f>
        <v>07203</v>
      </c>
      <c r="H535" s="1">
        <v>0</v>
      </c>
      <c r="I535" s="1">
        <v>0</v>
      </c>
      <c r="J535" s="1">
        <v>0</v>
      </c>
      <c r="K535" s="1">
        <v>0</v>
      </c>
      <c r="L535" s="1" t="s">
        <v>413</v>
      </c>
      <c r="M535" s="1" t="s">
        <v>7709</v>
      </c>
      <c r="N535" s="1" t="s">
        <v>13</v>
      </c>
      <c r="O535" s="1" t="s">
        <v>7710</v>
      </c>
    </row>
    <row r="536" spans="1:15" x14ac:dyDescent="0.4">
      <c r="A536" s="1" t="s">
        <v>2236</v>
      </c>
      <c r="B536" s="1" t="s">
        <v>2232</v>
      </c>
      <c r="C536" s="1" t="s">
        <v>2237</v>
      </c>
      <c r="D536" s="1" t="s">
        <v>1871</v>
      </c>
      <c r="E536" s="1" t="s">
        <v>1909</v>
      </c>
      <c r="F536" s="1" t="s">
        <v>17</v>
      </c>
      <c r="G536" s="4" t="str">
        <f>"08078"</f>
        <v>08078</v>
      </c>
      <c r="H536" s="1">
        <v>0</v>
      </c>
      <c r="I536" s="1">
        <v>0</v>
      </c>
      <c r="J536" s="1">
        <v>0</v>
      </c>
      <c r="K536" s="1">
        <v>28</v>
      </c>
      <c r="L536" s="1" t="s">
        <v>2233</v>
      </c>
      <c r="M536" s="1" t="s">
        <v>2234</v>
      </c>
      <c r="N536" s="1" t="s">
        <v>13</v>
      </c>
      <c r="O536" s="1" t="s">
        <v>2235</v>
      </c>
    </row>
    <row r="537" spans="1:15" x14ac:dyDescent="0.4">
      <c r="A537" s="1" t="s">
        <v>3363</v>
      </c>
      <c r="B537" s="1" t="s">
        <v>3356</v>
      </c>
      <c r="C537" s="1" t="s">
        <v>3367</v>
      </c>
      <c r="D537" s="1" t="s">
        <v>3361</v>
      </c>
      <c r="E537" s="1" t="s">
        <v>8024</v>
      </c>
      <c r="F537" s="1" t="s">
        <v>17</v>
      </c>
      <c r="G537" s="4" t="str">
        <f>"07006"</f>
        <v>07006</v>
      </c>
      <c r="H537" s="1">
        <v>0</v>
      </c>
      <c r="I537" s="1">
        <v>0</v>
      </c>
      <c r="J537" s="1">
        <v>0</v>
      </c>
      <c r="K537" s="1">
        <v>99</v>
      </c>
      <c r="L537" s="1" t="s">
        <v>3364</v>
      </c>
      <c r="M537" s="1" t="s">
        <v>3365</v>
      </c>
      <c r="N537" s="1" t="s">
        <v>13</v>
      </c>
      <c r="O537" s="1" t="s">
        <v>3366</v>
      </c>
    </row>
    <row r="538" spans="1:15" x14ac:dyDescent="0.4">
      <c r="A538" s="1" t="s">
        <v>3363</v>
      </c>
      <c r="B538" s="1" t="s">
        <v>4900</v>
      </c>
      <c r="C538" s="1" t="s">
        <v>4915</v>
      </c>
      <c r="D538" s="1" t="s">
        <v>4631</v>
      </c>
      <c r="E538" s="1" t="s">
        <v>8024</v>
      </c>
      <c r="F538" s="1" t="s">
        <v>17</v>
      </c>
      <c r="G538" s="4" t="str">
        <f>"08854"</f>
        <v>08854</v>
      </c>
      <c r="H538" s="1">
        <v>0</v>
      </c>
      <c r="I538" s="1">
        <v>0</v>
      </c>
      <c r="J538" s="1">
        <v>0</v>
      </c>
      <c r="K538" s="1">
        <v>99</v>
      </c>
      <c r="L538" s="1" t="s">
        <v>1336</v>
      </c>
      <c r="M538" s="1" t="s">
        <v>4913</v>
      </c>
      <c r="N538" s="1" t="s">
        <v>1183</v>
      </c>
      <c r="O538" s="1" t="s">
        <v>4914</v>
      </c>
    </row>
    <row r="539" spans="1:15" x14ac:dyDescent="0.4">
      <c r="A539" s="1" t="s">
        <v>466</v>
      </c>
      <c r="B539" s="1" t="s">
        <v>460</v>
      </c>
      <c r="C539" s="1" t="s">
        <v>470</v>
      </c>
      <c r="D539" s="1" t="s">
        <v>465</v>
      </c>
      <c r="E539" s="1" t="s">
        <v>8018</v>
      </c>
      <c r="F539" s="1" t="s">
        <v>17</v>
      </c>
      <c r="G539" s="4" t="str">
        <f>"07628-1650"</f>
        <v>07628-1650</v>
      </c>
      <c r="H539" s="1">
        <v>0</v>
      </c>
      <c r="I539" s="1">
        <v>0</v>
      </c>
      <c r="J539" s="1">
        <v>0</v>
      </c>
      <c r="K539" s="1">
        <v>55</v>
      </c>
      <c r="L539" s="1" t="s">
        <v>467</v>
      </c>
      <c r="M539" s="1" t="s">
        <v>468</v>
      </c>
      <c r="N539" s="1" t="s">
        <v>13</v>
      </c>
      <c r="O539" s="1" t="s">
        <v>469</v>
      </c>
    </row>
    <row r="540" spans="1:15" x14ac:dyDescent="0.4">
      <c r="A540" s="1" t="s">
        <v>466</v>
      </c>
      <c r="B540" s="1" t="s">
        <v>1033</v>
      </c>
      <c r="C540" s="1" t="s">
        <v>1036</v>
      </c>
      <c r="D540" s="1" t="s">
        <v>1037</v>
      </c>
      <c r="E540" s="1" t="s">
        <v>8018</v>
      </c>
      <c r="F540" s="1" t="s">
        <v>17</v>
      </c>
      <c r="G540" s="4" t="str">
        <f>"07660-2209"</f>
        <v>07660-2209</v>
      </c>
      <c r="H540" s="1">
        <v>0</v>
      </c>
      <c r="I540" s="1">
        <v>0</v>
      </c>
      <c r="J540" s="1">
        <v>0</v>
      </c>
      <c r="K540" s="1">
        <v>55</v>
      </c>
      <c r="L540" s="1" t="s">
        <v>817</v>
      </c>
      <c r="M540" s="1" t="s">
        <v>1034</v>
      </c>
      <c r="N540" s="1" t="s">
        <v>13</v>
      </c>
      <c r="O540" s="1" t="s">
        <v>1035</v>
      </c>
    </row>
    <row r="541" spans="1:15" x14ac:dyDescent="0.4">
      <c r="A541" s="1" t="s">
        <v>466</v>
      </c>
      <c r="B541" s="1" t="s">
        <v>4998</v>
      </c>
      <c r="C541" s="1" t="s">
        <v>5002</v>
      </c>
      <c r="D541" s="1" t="s">
        <v>4999</v>
      </c>
      <c r="E541" s="1" t="s">
        <v>8018</v>
      </c>
      <c r="F541" s="1" t="s">
        <v>17</v>
      </c>
      <c r="G541" s="4" t="str">
        <f>"07080"</f>
        <v>07080</v>
      </c>
      <c r="H541" s="1">
        <v>0</v>
      </c>
      <c r="I541" s="1">
        <v>0</v>
      </c>
      <c r="J541" s="1">
        <v>0</v>
      </c>
      <c r="K541" s="1">
        <v>55</v>
      </c>
      <c r="L541" s="1" t="s">
        <v>11</v>
      </c>
      <c r="M541" s="1" t="s">
        <v>5000</v>
      </c>
      <c r="N541" s="1" t="s">
        <v>13</v>
      </c>
      <c r="O541" s="1" t="s">
        <v>5001</v>
      </c>
    </row>
    <row r="542" spans="1:15" x14ac:dyDescent="0.4">
      <c r="A542" s="1" t="s">
        <v>4444</v>
      </c>
      <c r="B542" s="1" t="s">
        <v>4393</v>
      </c>
      <c r="C542" s="1" t="s">
        <v>4446</v>
      </c>
      <c r="D542" s="1" t="s">
        <v>2600</v>
      </c>
      <c r="E542" s="1" t="s">
        <v>8026</v>
      </c>
      <c r="F542" s="1" t="s">
        <v>17</v>
      </c>
      <c r="G542" s="4" t="str">
        <f>"08609"</f>
        <v>08609</v>
      </c>
      <c r="H542" s="1">
        <v>0</v>
      </c>
      <c r="I542" s="1">
        <v>0</v>
      </c>
      <c r="J542" s="1">
        <v>0</v>
      </c>
      <c r="K542" s="1">
        <v>0</v>
      </c>
      <c r="L542" s="1" t="s">
        <v>38</v>
      </c>
      <c r="M542" s="1" t="s">
        <v>2001</v>
      </c>
      <c r="N542" s="1" t="s">
        <v>13</v>
      </c>
      <c r="O542" s="1" t="s">
        <v>4445</v>
      </c>
    </row>
    <row r="543" spans="1:15" x14ac:dyDescent="0.4">
      <c r="A543" s="1" t="s">
        <v>7921</v>
      </c>
      <c r="B543" s="1" t="s">
        <v>7916</v>
      </c>
      <c r="C543" s="1" t="s">
        <v>7923</v>
      </c>
      <c r="D543" s="1" t="s">
        <v>7920</v>
      </c>
      <c r="E543" s="1" t="s">
        <v>55</v>
      </c>
      <c r="F543" s="1" t="s">
        <v>17</v>
      </c>
      <c r="G543" s="4" t="str">
        <f>"07838-0074"</f>
        <v>07838-0074</v>
      </c>
      <c r="H543" s="1">
        <v>0</v>
      </c>
      <c r="I543" s="1">
        <v>0</v>
      </c>
      <c r="J543" s="1">
        <v>0</v>
      </c>
      <c r="K543" s="1">
        <v>0</v>
      </c>
      <c r="L543" s="1" t="s">
        <v>2368</v>
      </c>
      <c r="M543" s="1" t="s">
        <v>5349</v>
      </c>
      <c r="N543" s="1" t="s">
        <v>13</v>
      </c>
      <c r="O543" s="1" t="s">
        <v>7922</v>
      </c>
    </row>
    <row r="544" spans="1:15" x14ac:dyDescent="0.4">
      <c r="A544" s="1" t="s">
        <v>2560</v>
      </c>
      <c r="B544" s="1" t="s">
        <v>2560</v>
      </c>
      <c r="C544" s="1" t="s">
        <v>2564</v>
      </c>
      <c r="D544" s="1" t="s">
        <v>2565</v>
      </c>
      <c r="E544" s="1" t="s">
        <v>8022</v>
      </c>
      <c r="F544" s="1" t="s">
        <v>17</v>
      </c>
      <c r="G544" s="4" t="str">
        <f>"08901"</f>
        <v>08901</v>
      </c>
      <c r="H544" s="1">
        <v>0</v>
      </c>
      <c r="I544" s="1">
        <v>0</v>
      </c>
      <c r="J544" s="1">
        <v>0</v>
      </c>
      <c r="K544" s="1">
        <v>44</v>
      </c>
      <c r="L544" s="1" t="s">
        <v>2561</v>
      </c>
      <c r="M544" s="1" t="s">
        <v>2562</v>
      </c>
      <c r="N544" s="1" t="s">
        <v>13</v>
      </c>
      <c r="O544" s="1" t="s">
        <v>2563</v>
      </c>
    </row>
    <row r="545" spans="1:15" x14ac:dyDescent="0.4">
      <c r="A545" s="1" t="s">
        <v>7149</v>
      </c>
      <c r="B545" s="1" t="s">
        <v>7148</v>
      </c>
      <c r="C545" s="1" t="s">
        <v>7152</v>
      </c>
      <c r="D545" s="1" t="s">
        <v>7153</v>
      </c>
      <c r="E545" s="1" t="s">
        <v>2471</v>
      </c>
      <c r="F545" s="1" t="s">
        <v>17</v>
      </c>
      <c r="G545" s="4" t="str">
        <f>"08812-2608"</f>
        <v>08812-2608</v>
      </c>
      <c r="H545" s="1">
        <v>0</v>
      </c>
      <c r="I545" s="1">
        <v>0</v>
      </c>
      <c r="J545" s="1">
        <v>0</v>
      </c>
      <c r="K545" s="1">
        <v>0</v>
      </c>
      <c r="L545" s="1" t="s">
        <v>874</v>
      </c>
      <c r="M545" s="1" t="s">
        <v>7150</v>
      </c>
      <c r="N545" s="1" t="s">
        <v>13</v>
      </c>
      <c r="O545" s="1" t="s">
        <v>7151</v>
      </c>
    </row>
    <row r="546" spans="1:15" x14ac:dyDescent="0.4">
      <c r="A546" s="1" t="s">
        <v>5311</v>
      </c>
      <c r="B546" s="1" t="s">
        <v>5297</v>
      </c>
      <c r="C546" s="1" t="s">
        <v>5314</v>
      </c>
      <c r="D546" s="1" t="s">
        <v>5301</v>
      </c>
      <c r="E546" s="1" t="s">
        <v>8027</v>
      </c>
      <c r="F546" s="1" t="s">
        <v>17</v>
      </c>
      <c r="G546" s="4" t="str">
        <f>"07731"</f>
        <v>07731</v>
      </c>
      <c r="H546" s="1">
        <v>0</v>
      </c>
      <c r="I546" s="1">
        <v>0</v>
      </c>
      <c r="J546" s="1">
        <v>0</v>
      </c>
      <c r="K546" s="1">
        <v>56</v>
      </c>
      <c r="L546" s="1" t="s">
        <v>443</v>
      </c>
      <c r="M546" s="1" t="s">
        <v>5312</v>
      </c>
      <c r="N546" s="1" t="s">
        <v>13</v>
      </c>
      <c r="O546" s="1" t="s">
        <v>5313</v>
      </c>
    </row>
    <row r="547" spans="1:15" x14ac:dyDescent="0.4">
      <c r="A547" s="1" t="s">
        <v>7924</v>
      </c>
      <c r="B547" s="1" t="s">
        <v>2833</v>
      </c>
      <c r="C547" s="1" t="s">
        <v>7928</v>
      </c>
      <c r="D547" s="1" t="s">
        <v>7929</v>
      </c>
      <c r="E547" s="1" t="s">
        <v>55</v>
      </c>
      <c r="F547" s="1" t="s">
        <v>17</v>
      </c>
      <c r="G547" s="4" t="str">
        <f>"08886"</f>
        <v>08886</v>
      </c>
      <c r="H547" s="1">
        <v>0</v>
      </c>
      <c r="I547" s="1">
        <v>0</v>
      </c>
      <c r="J547" s="1">
        <v>0</v>
      </c>
      <c r="K547" s="1">
        <v>49</v>
      </c>
      <c r="L547" s="1" t="s">
        <v>7925</v>
      </c>
      <c r="M547" s="1" t="s">
        <v>7926</v>
      </c>
      <c r="N547" s="1" t="s">
        <v>13</v>
      </c>
      <c r="O547" s="1" t="s">
        <v>7927</v>
      </c>
    </row>
    <row r="548" spans="1:15" x14ac:dyDescent="0.4">
      <c r="A548" s="1" t="s">
        <v>4253</v>
      </c>
      <c r="B548" s="1" t="s">
        <v>4235</v>
      </c>
      <c r="C548" s="1" t="s">
        <v>4256</v>
      </c>
      <c r="D548" s="1" t="s">
        <v>4239</v>
      </c>
      <c r="E548" s="1" t="s">
        <v>8026</v>
      </c>
      <c r="F548" s="1" t="s">
        <v>17</v>
      </c>
      <c r="G548" s="4" t="str">
        <f>"08609-2328"</f>
        <v>08609-2328</v>
      </c>
      <c r="H548" s="1">
        <v>0</v>
      </c>
      <c r="I548" s="1">
        <v>0</v>
      </c>
      <c r="J548" s="1">
        <v>0</v>
      </c>
      <c r="K548" s="1">
        <v>40</v>
      </c>
      <c r="L548" s="1" t="s">
        <v>43</v>
      </c>
      <c r="M548" s="1" t="s">
        <v>4254</v>
      </c>
      <c r="N548" s="1" t="s">
        <v>13</v>
      </c>
      <c r="O548" s="1" t="s">
        <v>4255</v>
      </c>
    </row>
    <row r="549" spans="1:15" x14ac:dyDescent="0.4">
      <c r="A549" s="1" t="s">
        <v>3502</v>
      </c>
      <c r="B549" s="1" t="s">
        <v>3497</v>
      </c>
      <c r="C549" s="1" t="s">
        <v>3506</v>
      </c>
      <c r="D549" s="1" t="s">
        <v>3501</v>
      </c>
      <c r="E549" s="1" t="s">
        <v>8024</v>
      </c>
      <c r="F549" s="1" t="s">
        <v>17</v>
      </c>
      <c r="G549" s="4" t="str">
        <f>"07052-4439"</f>
        <v>07052-4439</v>
      </c>
      <c r="H549" s="1">
        <v>0</v>
      </c>
      <c r="I549" s="1">
        <v>0</v>
      </c>
      <c r="J549" s="1">
        <v>0</v>
      </c>
      <c r="K549" s="1">
        <v>73</v>
      </c>
      <c r="L549" s="1" t="s">
        <v>3503</v>
      </c>
      <c r="M549" s="1" t="s">
        <v>3504</v>
      </c>
      <c r="N549" s="1" t="s">
        <v>13</v>
      </c>
      <c r="O549" s="1" t="s">
        <v>3505</v>
      </c>
    </row>
    <row r="550" spans="1:15" x14ac:dyDescent="0.4">
      <c r="A550" s="1" t="s">
        <v>3502</v>
      </c>
      <c r="B550" s="1" t="s">
        <v>5355</v>
      </c>
      <c r="C550" s="1" t="s">
        <v>5370</v>
      </c>
      <c r="D550" s="1" t="s">
        <v>5361</v>
      </c>
      <c r="E550" s="1" t="s">
        <v>8024</v>
      </c>
      <c r="F550" s="1" t="s">
        <v>17</v>
      </c>
      <c r="G550" s="4" t="str">
        <f>"07740-6992"</f>
        <v>07740-6992</v>
      </c>
      <c r="H550" s="1">
        <v>0</v>
      </c>
      <c r="I550" s="1">
        <v>0</v>
      </c>
      <c r="J550" s="1">
        <v>0</v>
      </c>
      <c r="K550" s="1">
        <v>73</v>
      </c>
      <c r="L550" s="1" t="s">
        <v>5367</v>
      </c>
      <c r="M550" s="1" t="s">
        <v>5368</v>
      </c>
      <c r="N550" s="1" t="s">
        <v>13</v>
      </c>
      <c r="O550" s="1" t="s">
        <v>5369</v>
      </c>
    </row>
    <row r="551" spans="1:15" x14ac:dyDescent="0.4">
      <c r="A551" s="1" t="s">
        <v>3000</v>
      </c>
      <c r="B551" s="1" t="s">
        <v>2999</v>
      </c>
      <c r="C551" s="1" t="s">
        <v>3003</v>
      </c>
      <c r="D551" s="1" t="s">
        <v>3004</v>
      </c>
      <c r="E551" s="1" t="s">
        <v>8024</v>
      </c>
      <c r="F551" s="1" t="s">
        <v>17</v>
      </c>
      <c r="G551" s="4" t="str">
        <f>"07006"</f>
        <v>07006</v>
      </c>
      <c r="H551" s="1">
        <v>0</v>
      </c>
      <c r="I551" s="1">
        <v>0</v>
      </c>
      <c r="J551" s="1">
        <v>0</v>
      </c>
      <c r="K551" s="1">
        <v>0</v>
      </c>
      <c r="L551" s="1" t="s">
        <v>434</v>
      </c>
      <c r="M551" s="1" t="s">
        <v>3001</v>
      </c>
      <c r="N551" s="1" t="s">
        <v>13</v>
      </c>
      <c r="O551" s="1" t="s">
        <v>3002</v>
      </c>
    </row>
    <row r="552" spans="1:15" x14ac:dyDescent="0.4">
      <c r="A552" s="1" t="s">
        <v>704</v>
      </c>
      <c r="B552" s="1" t="s">
        <v>699</v>
      </c>
      <c r="C552" s="1" t="s">
        <v>707</v>
      </c>
      <c r="D552" s="1" t="s">
        <v>701</v>
      </c>
      <c r="E552" s="1" t="s">
        <v>8018</v>
      </c>
      <c r="F552" s="1" t="s">
        <v>17</v>
      </c>
      <c r="G552" s="4" t="str">
        <f>"07601"</f>
        <v>07601</v>
      </c>
      <c r="H552" s="1">
        <v>0</v>
      </c>
      <c r="I552" s="1">
        <v>0</v>
      </c>
      <c r="J552" s="1">
        <v>0</v>
      </c>
      <c r="K552" s="1">
        <v>0</v>
      </c>
      <c r="L552" s="1" t="s">
        <v>34</v>
      </c>
      <c r="M552" s="1" t="s">
        <v>705</v>
      </c>
      <c r="N552" s="1" t="s">
        <v>13</v>
      </c>
      <c r="O552" s="1" t="s">
        <v>706</v>
      </c>
    </row>
    <row r="553" spans="1:15" x14ac:dyDescent="0.4">
      <c r="A553" s="1" t="s">
        <v>709</v>
      </c>
      <c r="B553" s="1" t="s">
        <v>699</v>
      </c>
      <c r="C553" s="1" t="s">
        <v>713</v>
      </c>
      <c r="D553" s="1" t="s">
        <v>326</v>
      </c>
      <c r="E553" s="1" t="s">
        <v>8018</v>
      </c>
      <c r="F553" s="1" t="s">
        <v>17</v>
      </c>
      <c r="G553" s="4" t="str">
        <f>"07601"</f>
        <v>07601</v>
      </c>
      <c r="H553" s="1">
        <v>0</v>
      </c>
      <c r="I553" s="1">
        <v>0</v>
      </c>
      <c r="J553" s="1">
        <v>0</v>
      </c>
      <c r="K553" s="1">
        <v>0</v>
      </c>
      <c r="L553" s="1" t="s">
        <v>710</v>
      </c>
      <c r="M553" s="1" t="s">
        <v>711</v>
      </c>
      <c r="N553" s="1" t="s">
        <v>13</v>
      </c>
      <c r="O553" s="1" t="s">
        <v>712</v>
      </c>
    </row>
    <row r="554" spans="1:15" x14ac:dyDescent="0.4">
      <c r="A554" s="1" t="s">
        <v>7934</v>
      </c>
      <c r="B554" s="1" t="s">
        <v>7933</v>
      </c>
      <c r="C554" s="1" t="s">
        <v>7937</v>
      </c>
      <c r="D554" s="1" t="s">
        <v>7938</v>
      </c>
      <c r="E554" s="1" t="s">
        <v>55</v>
      </c>
      <c r="F554" s="1" t="s">
        <v>17</v>
      </c>
      <c r="G554" s="4" t="str">
        <f>"07840"</f>
        <v>07840</v>
      </c>
      <c r="H554" s="1">
        <v>0</v>
      </c>
      <c r="I554" s="1">
        <v>0</v>
      </c>
      <c r="J554" s="1">
        <v>0</v>
      </c>
      <c r="K554" s="1">
        <v>0</v>
      </c>
      <c r="L554" s="1" t="s">
        <v>1653</v>
      </c>
      <c r="M554" s="1" t="s">
        <v>7935</v>
      </c>
      <c r="N554" s="1" t="s">
        <v>13</v>
      </c>
      <c r="O554" s="1" t="s">
        <v>7936</v>
      </c>
    </row>
    <row r="555" spans="1:15" x14ac:dyDescent="0.4">
      <c r="A555" s="1" t="s">
        <v>7939</v>
      </c>
      <c r="B555" s="1" t="s">
        <v>7933</v>
      </c>
      <c r="C555" s="1" t="s">
        <v>7942</v>
      </c>
      <c r="D555" s="1" t="s">
        <v>7938</v>
      </c>
      <c r="E555" s="1" t="s">
        <v>55</v>
      </c>
      <c r="F555" s="1" t="s">
        <v>17</v>
      </c>
      <c r="G555" s="4" t="str">
        <f>"07840-2230"</f>
        <v>07840-2230</v>
      </c>
      <c r="H555" s="1">
        <v>0</v>
      </c>
      <c r="I555" s="1">
        <v>0</v>
      </c>
      <c r="J555" s="1">
        <v>0</v>
      </c>
      <c r="K555" s="1">
        <v>0</v>
      </c>
      <c r="L555" s="1" t="s">
        <v>18</v>
      </c>
      <c r="M555" s="1" t="s">
        <v>7940</v>
      </c>
      <c r="N555" s="1" t="s">
        <v>13</v>
      </c>
      <c r="O555" s="1" t="s">
        <v>7941</v>
      </c>
    </row>
    <row r="556" spans="1:15" x14ac:dyDescent="0.4">
      <c r="A556" s="1" t="s">
        <v>2093</v>
      </c>
      <c r="B556" s="1" t="s">
        <v>2084</v>
      </c>
      <c r="C556" s="1" t="s">
        <v>2096</v>
      </c>
      <c r="D556" s="1" t="s">
        <v>2088</v>
      </c>
      <c r="E556" s="1" t="s">
        <v>1909</v>
      </c>
      <c r="F556" s="1" t="s">
        <v>17</v>
      </c>
      <c r="G556" s="4" t="str">
        <f>"08035"</f>
        <v>08035</v>
      </c>
      <c r="H556" s="1">
        <v>0</v>
      </c>
      <c r="I556" s="1">
        <v>0</v>
      </c>
      <c r="J556" s="1">
        <v>0</v>
      </c>
      <c r="K556" s="1">
        <v>0</v>
      </c>
      <c r="L556" s="1" t="s">
        <v>55</v>
      </c>
      <c r="M556" s="1" t="s">
        <v>2094</v>
      </c>
      <c r="N556" s="1" t="s">
        <v>13</v>
      </c>
      <c r="O556" s="1" t="s">
        <v>2095</v>
      </c>
    </row>
    <row r="557" spans="1:15" x14ac:dyDescent="0.4">
      <c r="A557" s="1" t="s">
        <v>2105</v>
      </c>
      <c r="B557" s="1" t="s">
        <v>2099</v>
      </c>
      <c r="C557" s="1" t="s">
        <v>2107</v>
      </c>
      <c r="D557" s="1" t="s">
        <v>2108</v>
      </c>
      <c r="E557" s="1" t="s">
        <v>1909</v>
      </c>
      <c r="F557" s="1" t="s">
        <v>17</v>
      </c>
      <c r="G557" s="4" t="str">
        <f>"08108-3398"</f>
        <v>08108-3398</v>
      </c>
      <c r="H557" s="1">
        <v>0</v>
      </c>
      <c r="I557" s="1">
        <v>0</v>
      </c>
      <c r="J557" s="1">
        <v>0</v>
      </c>
      <c r="K557" s="1">
        <v>0</v>
      </c>
      <c r="L557" s="1" t="s">
        <v>1497</v>
      </c>
      <c r="M557" s="1" t="s">
        <v>8037</v>
      </c>
      <c r="N557" s="1" t="s">
        <v>13</v>
      </c>
      <c r="O557" s="1" t="s">
        <v>2106</v>
      </c>
    </row>
    <row r="558" spans="1:15" x14ac:dyDescent="0.4">
      <c r="A558" s="1" t="s">
        <v>2136</v>
      </c>
      <c r="B558" s="1" t="s">
        <v>2127</v>
      </c>
      <c r="C558" s="1" t="s">
        <v>2140</v>
      </c>
      <c r="D558" s="1" t="s">
        <v>1831</v>
      </c>
      <c r="E558" s="1" t="s">
        <v>1909</v>
      </c>
      <c r="F558" s="1" t="s">
        <v>17</v>
      </c>
      <c r="G558" s="4" t="str">
        <f>"08033-1206"</f>
        <v>08033-1206</v>
      </c>
      <c r="H558" s="1">
        <v>0</v>
      </c>
      <c r="I558" s="1">
        <v>0</v>
      </c>
      <c r="J558" s="1">
        <v>0</v>
      </c>
      <c r="K558" s="1">
        <v>0</v>
      </c>
      <c r="L558" s="1" t="s">
        <v>2137</v>
      </c>
      <c r="M558" s="1" t="s">
        <v>2138</v>
      </c>
      <c r="N558" s="1" t="s">
        <v>13</v>
      </c>
      <c r="O558" s="1" t="s">
        <v>2139</v>
      </c>
    </row>
    <row r="559" spans="1:15" x14ac:dyDescent="0.4">
      <c r="A559" s="1" t="s">
        <v>2141</v>
      </c>
      <c r="B559" s="1" t="s">
        <v>2127</v>
      </c>
      <c r="C559" s="1" t="s">
        <v>2144</v>
      </c>
      <c r="D559" s="1" t="s">
        <v>1831</v>
      </c>
      <c r="E559" s="1" t="s">
        <v>1909</v>
      </c>
      <c r="F559" s="1" t="s">
        <v>17</v>
      </c>
      <c r="G559" s="4" t="str">
        <f>"08033"</f>
        <v>08033</v>
      </c>
      <c r="H559" s="1">
        <v>0</v>
      </c>
      <c r="I559" s="1">
        <v>0</v>
      </c>
      <c r="J559" s="1">
        <v>0</v>
      </c>
      <c r="K559" s="1">
        <v>0</v>
      </c>
      <c r="L559" s="1" t="s">
        <v>158</v>
      </c>
      <c r="M559" s="1" t="s">
        <v>2142</v>
      </c>
      <c r="N559" s="1" t="s">
        <v>13</v>
      </c>
      <c r="O559" s="1" t="s">
        <v>2143</v>
      </c>
    </row>
    <row r="560" spans="1:15" x14ac:dyDescent="0.4">
      <c r="A560" s="1" t="s">
        <v>1574</v>
      </c>
      <c r="B560" s="1" t="s">
        <v>1573</v>
      </c>
      <c r="C560" s="1" t="s">
        <v>1577</v>
      </c>
      <c r="D560" s="1" t="s">
        <v>1525</v>
      </c>
      <c r="E560" s="1" t="s">
        <v>8019</v>
      </c>
      <c r="F560" s="1" t="s">
        <v>17</v>
      </c>
      <c r="G560" s="4" t="str">
        <f>"08055"</f>
        <v>08055</v>
      </c>
      <c r="H560" s="1">
        <v>0</v>
      </c>
      <c r="I560" s="1">
        <v>0</v>
      </c>
      <c r="J560" s="1">
        <v>0</v>
      </c>
      <c r="K560" s="1">
        <v>0</v>
      </c>
      <c r="L560" s="1" t="s">
        <v>54</v>
      </c>
      <c r="M560" s="1" t="s">
        <v>1575</v>
      </c>
      <c r="N560" s="1" t="s">
        <v>1183</v>
      </c>
      <c r="O560" s="1" t="s">
        <v>1576</v>
      </c>
    </row>
    <row r="561" spans="1:15" x14ac:dyDescent="0.4">
      <c r="A561" s="1" t="s">
        <v>7338</v>
      </c>
      <c r="B561" s="1" t="s">
        <v>7337</v>
      </c>
      <c r="C561" s="1" t="s">
        <v>7340</v>
      </c>
      <c r="D561" s="1" t="s">
        <v>7287</v>
      </c>
      <c r="E561" s="1" t="s">
        <v>8030</v>
      </c>
      <c r="F561" s="1" t="s">
        <v>17</v>
      </c>
      <c r="G561" s="4" t="str">
        <f>"07860"</f>
        <v>07860</v>
      </c>
      <c r="H561" s="1">
        <v>0</v>
      </c>
      <c r="I561" s="1">
        <v>0</v>
      </c>
      <c r="J561" s="1">
        <v>0</v>
      </c>
      <c r="K561" s="1">
        <v>0</v>
      </c>
      <c r="L561" s="1" t="s">
        <v>207</v>
      </c>
      <c r="M561" s="1" t="s">
        <v>6789</v>
      </c>
      <c r="N561" s="1" t="s">
        <v>13</v>
      </c>
      <c r="O561" s="1" t="s">
        <v>7339</v>
      </c>
    </row>
    <row r="562" spans="1:15" x14ac:dyDescent="0.4">
      <c r="A562" s="1" t="s">
        <v>4257</v>
      </c>
      <c r="B562" s="1" t="s">
        <v>4235</v>
      </c>
      <c r="C562" s="1" t="s">
        <v>4260</v>
      </c>
      <c r="D562" s="1" t="s">
        <v>4239</v>
      </c>
      <c r="E562" s="1" t="s">
        <v>8026</v>
      </c>
      <c r="F562" s="1" t="s">
        <v>17</v>
      </c>
      <c r="G562" s="4" t="str">
        <f>"08690"</f>
        <v>08690</v>
      </c>
      <c r="H562" s="1">
        <v>0</v>
      </c>
      <c r="I562" s="1">
        <v>0</v>
      </c>
      <c r="J562" s="1">
        <v>0</v>
      </c>
      <c r="K562" s="1">
        <v>0</v>
      </c>
      <c r="L562" s="1" t="s">
        <v>4258</v>
      </c>
      <c r="M562" s="1" t="s">
        <v>2837</v>
      </c>
      <c r="N562" s="1" t="s">
        <v>13</v>
      </c>
      <c r="O562" s="1" t="s">
        <v>4259</v>
      </c>
    </row>
    <row r="563" spans="1:15" x14ac:dyDescent="0.4">
      <c r="A563" s="1" t="s">
        <v>3832</v>
      </c>
      <c r="B563" s="1" t="s">
        <v>3831</v>
      </c>
      <c r="C563" s="1" t="s">
        <v>3836</v>
      </c>
      <c r="D563" s="1" t="s">
        <v>3837</v>
      </c>
      <c r="E563" s="1" t="s">
        <v>3646</v>
      </c>
      <c r="F563" s="1" t="s">
        <v>17</v>
      </c>
      <c r="G563" s="4" t="str">
        <f>"07029"</f>
        <v>07029</v>
      </c>
      <c r="H563" s="1">
        <v>0</v>
      </c>
      <c r="I563" s="1">
        <v>0</v>
      </c>
      <c r="J563" s="1">
        <v>0</v>
      </c>
      <c r="K563" s="1">
        <v>0</v>
      </c>
      <c r="L563" s="1" t="s">
        <v>3833</v>
      </c>
      <c r="M563" s="1" t="s">
        <v>3834</v>
      </c>
      <c r="N563" s="1" t="s">
        <v>241</v>
      </c>
      <c r="O563" s="1" t="s">
        <v>3835</v>
      </c>
    </row>
    <row r="564" spans="1:15" x14ac:dyDescent="0.4">
      <c r="A564" s="1" t="s">
        <v>4261</v>
      </c>
      <c r="B564" s="1" t="s">
        <v>4235</v>
      </c>
      <c r="C564" s="1" t="s">
        <v>4264</v>
      </c>
      <c r="D564" s="1" t="s">
        <v>4239</v>
      </c>
      <c r="E564" s="1" t="s">
        <v>8026</v>
      </c>
      <c r="F564" s="1" t="s">
        <v>17</v>
      </c>
      <c r="G564" s="4" t="str">
        <f>"08619-3046"</f>
        <v>08619-3046</v>
      </c>
      <c r="H564" s="1">
        <v>0</v>
      </c>
      <c r="I564" s="1">
        <v>0</v>
      </c>
      <c r="J564" s="1">
        <v>0</v>
      </c>
      <c r="K564" s="1">
        <v>0</v>
      </c>
      <c r="L564" s="1" t="s">
        <v>123</v>
      </c>
      <c r="M564" s="1" t="s">
        <v>4262</v>
      </c>
      <c r="N564" s="1" t="s">
        <v>13</v>
      </c>
      <c r="O564" s="1" t="s">
        <v>4263</v>
      </c>
    </row>
    <row r="565" spans="1:15" x14ac:dyDescent="0.4">
      <c r="A565" s="1" t="s">
        <v>7116</v>
      </c>
      <c r="B565" s="1" t="s">
        <v>7093</v>
      </c>
      <c r="C565" s="1" t="s">
        <v>7119</v>
      </c>
      <c r="D565" s="1" t="s">
        <v>7047</v>
      </c>
      <c r="E565" s="1" t="s">
        <v>2471</v>
      </c>
      <c r="F565" s="1" t="s">
        <v>17</v>
      </c>
      <c r="G565" s="4" t="str">
        <f>"07920"</f>
        <v>07920</v>
      </c>
      <c r="H565" s="1">
        <v>0</v>
      </c>
      <c r="I565" s="1">
        <v>0</v>
      </c>
      <c r="J565" s="1">
        <v>47</v>
      </c>
      <c r="K565" s="1">
        <v>0</v>
      </c>
      <c r="L565" s="1" t="s">
        <v>997</v>
      </c>
      <c r="M565" s="1" t="s">
        <v>7117</v>
      </c>
      <c r="N565" s="1" t="s">
        <v>13</v>
      </c>
      <c r="O565" s="1" t="s">
        <v>7118</v>
      </c>
    </row>
    <row r="566" spans="1:15" x14ac:dyDescent="0.4">
      <c r="A566" s="1" t="s">
        <v>4265</v>
      </c>
      <c r="B566" s="1" t="s">
        <v>4235</v>
      </c>
      <c r="C566" s="1" t="s">
        <v>4267</v>
      </c>
      <c r="D566" s="1" t="s">
        <v>4239</v>
      </c>
      <c r="E566" s="1" t="s">
        <v>8026</v>
      </c>
      <c r="F566" s="1" t="s">
        <v>17</v>
      </c>
      <c r="G566" s="4" t="str">
        <f>"08610-5053"</f>
        <v>08610-5053</v>
      </c>
      <c r="H566" s="1">
        <v>0</v>
      </c>
      <c r="I566" s="1">
        <v>0</v>
      </c>
      <c r="J566" s="1">
        <v>0</v>
      </c>
      <c r="K566" s="1">
        <v>0</v>
      </c>
      <c r="L566" s="1" t="s">
        <v>50</v>
      </c>
      <c r="M566" s="1" t="s">
        <v>421</v>
      </c>
      <c r="N566" s="1" t="s">
        <v>13</v>
      </c>
      <c r="O566" s="1" t="s">
        <v>4266</v>
      </c>
    </row>
    <row r="567" spans="1:15" x14ac:dyDescent="0.4">
      <c r="A567" s="1" t="s">
        <v>4558</v>
      </c>
      <c r="B567" s="1" t="s">
        <v>4545</v>
      </c>
      <c r="C567" s="1" t="s">
        <v>4561</v>
      </c>
      <c r="D567" s="1" t="s">
        <v>4546</v>
      </c>
      <c r="E567" s="1" t="s">
        <v>4704</v>
      </c>
      <c r="F567" s="1" t="s">
        <v>17</v>
      </c>
      <c r="G567" s="4" t="str">
        <f>"08816"</f>
        <v>08816</v>
      </c>
      <c r="H567" s="1">
        <v>0</v>
      </c>
      <c r="I567" s="1">
        <v>0</v>
      </c>
      <c r="J567" s="1">
        <v>0</v>
      </c>
      <c r="K567" s="1">
        <v>0</v>
      </c>
      <c r="L567" s="1" t="s">
        <v>323</v>
      </c>
      <c r="M567" s="1" t="s">
        <v>4559</v>
      </c>
      <c r="N567" s="1" t="s">
        <v>13</v>
      </c>
      <c r="O567" s="1" t="s">
        <v>4560</v>
      </c>
    </row>
    <row r="568" spans="1:15" x14ac:dyDescent="0.4">
      <c r="A568" s="1" t="s">
        <v>174</v>
      </c>
      <c r="B568" s="1" t="s">
        <v>172</v>
      </c>
      <c r="C568" s="1" t="s">
        <v>177</v>
      </c>
      <c r="D568" s="1" t="s">
        <v>173</v>
      </c>
      <c r="E568" s="1" t="s">
        <v>8017</v>
      </c>
      <c r="F568" s="1" t="s">
        <v>17</v>
      </c>
      <c r="G568" s="4" t="str">
        <f>"08037"</f>
        <v>08037</v>
      </c>
      <c r="H568" s="1">
        <v>0</v>
      </c>
      <c r="I568" s="1">
        <v>0</v>
      </c>
      <c r="J568" s="1">
        <v>0</v>
      </c>
      <c r="K568" s="1">
        <v>0</v>
      </c>
      <c r="L568" s="1" t="s">
        <v>158</v>
      </c>
      <c r="M568" s="1" t="s">
        <v>175</v>
      </c>
      <c r="N568" s="1" t="s">
        <v>13</v>
      </c>
      <c r="O568" s="1" t="s">
        <v>176</v>
      </c>
    </row>
    <row r="569" spans="1:15" x14ac:dyDescent="0.4">
      <c r="A569" s="1" t="s">
        <v>179</v>
      </c>
      <c r="B569" s="1" t="s">
        <v>172</v>
      </c>
      <c r="C569" s="1" t="s">
        <v>183</v>
      </c>
      <c r="D569" s="1" t="s">
        <v>173</v>
      </c>
      <c r="E569" s="1" t="s">
        <v>8017</v>
      </c>
      <c r="F569" s="1" t="s">
        <v>17</v>
      </c>
      <c r="G569" s="4" t="str">
        <f>"08037-9425"</f>
        <v>08037-9425</v>
      </c>
      <c r="H569" s="1">
        <v>0</v>
      </c>
      <c r="I569" s="1">
        <v>0</v>
      </c>
      <c r="J569" s="1">
        <v>0</v>
      </c>
      <c r="K569" s="1">
        <v>0</v>
      </c>
      <c r="L569" s="1" t="s">
        <v>180</v>
      </c>
      <c r="M569" s="1" t="s">
        <v>181</v>
      </c>
      <c r="N569" s="1" t="s">
        <v>13</v>
      </c>
      <c r="O569" s="1" t="s">
        <v>182</v>
      </c>
    </row>
    <row r="570" spans="1:15" x14ac:dyDescent="0.4">
      <c r="A570" s="1" t="s">
        <v>5784</v>
      </c>
      <c r="B570" s="1" t="s">
        <v>5783</v>
      </c>
      <c r="C570" s="1" t="s">
        <v>5787</v>
      </c>
      <c r="D570" s="1" t="s">
        <v>5757</v>
      </c>
      <c r="E570" s="1" t="s">
        <v>1503</v>
      </c>
      <c r="F570" s="1" t="s">
        <v>17</v>
      </c>
      <c r="G570" s="4" t="str">
        <f>"07936-2601"</f>
        <v>07936-2601</v>
      </c>
      <c r="H570" s="1">
        <v>0</v>
      </c>
      <c r="I570" s="1">
        <v>0</v>
      </c>
      <c r="J570" s="1">
        <v>0</v>
      </c>
      <c r="K570" s="1">
        <v>0</v>
      </c>
      <c r="L570" s="1" t="s">
        <v>40</v>
      </c>
      <c r="M570" s="1" t="s">
        <v>5785</v>
      </c>
      <c r="N570" s="1" t="s">
        <v>13</v>
      </c>
      <c r="O570" s="1" t="s">
        <v>5786</v>
      </c>
    </row>
    <row r="571" spans="1:15" x14ac:dyDescent="0.4">
      <c r="A571" s="1" t="s">
        <v>5808</v>
      </c>
      <c r="B571" s="1" t="s">
        <v>5807</v>
      </c>
      <c r="C571" s="1" t="s">
        <v>5811</v>
      </c>
      <c r="D571" s="1" t="s">
        <v>5812</v>
      </c>
      <c r="E571" s="1" t="s">
        <v>1503</v>
      </c>
      <c r="F571" s="1" t="s">
        <v>17</v>
      </c>
      <c r="G571" s="4" t="str">
        <f>"07976-0248"</f>
        <v>07976-0248</v>
      </c>
      <c r="H571" s="1">
        <v>0</v>
      </c>
      <c r="I571" s="1">
        <v>0</v>
      </c>
      <c r="J571" s="1">
        <v>0</v>
      </c>
      <c r="K571" s="1">
        <v>30</v>
      </c>
      <c r="L571" s="1" t="s">
        <v>1413</v>
      </c>
      <c r="M571" s="1" t="s">
        <v>5809</v>
      </c>
      <c r="N571" s="1" t="s">
        <v>13</v>
      </c>
      <c r="O571" s="1" t="s">
        <v>5810</v>
      </c>
    </row>
    <row r="572" spans="1:15" x14ac:dyDescent="0.4">
      <c r="A572" s="1" t="s">
        <v>7308</v>
      </c>
      <c r="B572" s="1" t="s">
        <v>7307</v>
      </c>
      <c r="C572" s="1" t="s">
        <v>7310</v>
      </c>
      <c r="D572" s="1" t="s">
        <v>7306</v>
      </c>
      <c r="E572" s="1" t="s">
        <v>8030</v>
      </c>
      <c r="F572" s="1" t="s">
        <v>17</v>
      </c>
      <c r="G572" s="4" t="str">
        <f>"07419"</f>
        <v>07419</v>
      </c>
      <c r="H572" s="1">
        <v>0</v>
      </c>
      <c r="I572" s="1">
        <v>0</v>
      </c>
      <c r="J572" s="1">
        <v>0</v>
      </c>
      <c r="K572" s="1">
        <v>0</v>
      </c>
      <c r="L572" s="1" t="s">
        <v>1369</v>
      </c>
      <c r="M572" s="1" t="s">
        <v>8043</v>
      </c>
      <c r="N572" s="1" t="s">
        <v>91</v>
      </c>
      <c r="O572" s="1" t="s">
        <v>7309</v>
      </c>
    </row>
    <row r="573" spans="1:15" x14ac:dyDescent="0.4">
      <c r="A573" s="1" t="s">
        <v>7948</v>
      </c>
      <c r="B573" s="1" t="s">
        <v>7947</v>
      </c>
      <c r="C573" s="1" t="s">
        <v>7951</v>
      </c>
      <c r="D573" s="1" t="s">
        <v>7952</v>
      </c>
      <c r="E573" s="1" t="s">
        <v>55</v>
      </c>
      <c r="F573" s="1" t="s">
        <v>17</v>
      </c>
      <c r="G573" s="4" t="str">
        <f>"08865-2155"</f>
        <v>08865-2155</v>
      </c>
      <c r="H573" s="1">
        <v>0</v>
      </c>
      <c r="I573" s="1">
        <v>0</v>
      </c>
      <c r="J573" s="1">
        <v>0</v>
      </c>
      <c r="K573" s="1">
        <v>16</v>
      </c>
      <c r="L573" s="1" t="s">
        <v>7949</v>
      </c>
      <c r="M573" s="1" t="s">
        <v>426</v>
      </c>
      <c r="N573" s="1" t="s">
        <v>13</v>
      </c>
      <c r="O573" s="1" t="s">
        <v>7950</v>
      </c>
    </row>
    <row r="574" spans="1:15" x14ac:dyDescent="0.4">
      <c r="A574" s="1" t="s">
        <v>3150</v>
      </c>
      <c r="B574" s="1" t="s">
        <v>3144</v>
      </c>
      <c r="C574" s="1" t="s">
        <v>3152</v>
      </c>
      <c r="D574" s="1" t="s">
        <v>3145</v>
      </c>
      <c r="E574" s="1" t="s">
        <v>8024</v>
      </c>
      <c r="F574" s="1" t="s">
        <v>17</v>
      </c>
      <c r="G574" s="4" t="str">
        <f>"07039-4631"</f>
        <v>07039-4631</v>
      </c>
      <c r="H574" s="1">
        <v>0</v>
      </c>
      <c r="I574" s="1">
        <v>0</v>
      </c>
      <c r="J574" s="1">
        <v>0</v>
      </c>
      <c r="K574" s="1">
        <v>82</v>
      </c>
      <c r="L574" s="1" t="s">
        <v>146</v>
      </c>
      <c r="M574" s="1" t="s">
        <v>303</v>
      </c>
      <c r="N574" s="1" t="s">
        <v>13</v>
      </c>
      <c r="O574" s="1" t="s">
        <v>3151</v>
      </c>
    </row>
    <row r="575" spans="1:15" x14ac:dyDescent="0.4">
      <c r="A575" s="1" t="s">
        <v>3150</v>
      </c>
      <c r="B575" s="1" t="s">
        <v>7702</v>
      </c>
      <c r="C575" s="1" t="s">
        <v>7714</v>
      </c>
      <c r="D575" s="1" t="s">
        <v>7707</v>
      </c>
      <c r="E575" s="1" t="s">
        <v>8024</v>
      </c>
      <c r="F575" s="1" t="s">
        <v>17</v>
      </c>
      <c r="G575" s="4" t="str">
        <f>"07203"</f>
        <v>07203</v>
      </c>
      <c r="H575" s="1">
        <v>0</v>
      </c>
      <c r="I575" s="1">
        <v>0</v>
      </c>
      <c r="J575" s="1">
        <v>0</v>
      </c>
      <c r="K575" s="1">
        <v>82</v>
      </c>
      <c r="L575" s="1" t="s">
        <v>197</v>
      </c>
      <c r="M575" s="1" t="s">
        <v>7712</v>
      </c>
      <c r="N575" s="1" t="s">
        <v>13</v>
      </c>
      <c r="O575" s="1" t="s">
        <v>7713</v>
      </c>
    </row>
    <row r="576" spans="1:15" x14ac:dyDescent="0.4">
      <c r="A576" s="1" t="s">
        <v>3838</v>
      </c>
      <c r="B576" s="1" t="s">
        <v>3831</v>
      </c>
      <c r="C576" s="1" t="s">
        <v>3841</v>
      </c>
      <c r="D576" s="1" t="s">
        <v>3837</v>
      </c>
      <c r="E576" s="1" t="s">
        <v>3646</v>
      </c>
      <c r="F576" s="1" t="s">
        <v>17</v>
      </c>
      <c r="G576" s="4" t="str">
        <f>"07029-1405"</f>
        <v>07029-1405</v>
      </c>
      <c r="H576" s="1">
        <v>1</v>
      </c>
      <c r="I576" s="1">
        <v>0.1</v>
      </c>
      <c r="J576" s="1">
        <v>0</v>
      </c>
      <c r="K576" s="1">
        <v>0</v>
      </c>
      <c r="L576" s="1" t="s">
        <v>1408</v>
      </c>
      <c r="M576" s="1" t="s">
        <v>3839</v>
      </c>
      <c r="N576" s="1" t="s">
        <v>13</v>
      </c>
      <c r="O576" s="1" t="s">
        <v>3840</v>
      </c>
    </row>
    <row r="577" spans="1:15" x14ac:dyDescent="0.4">
      <c r="A577" s="1" t="s">
        <v>4045</v>
      </c>
      <c r="B577" s="1" t="s">
        <v>4039</v>
      </c>
      <c r="C577" s="1" t="s">
        <v>4048</v>
      </c>
      <c r="D577" s="1" t="s">
        <v>4044</v>
      </c>
      <c r="E577" s="1" t="s">
        <v>3646</v>
      </c>
      <c r="F577" s="1" t="s">
        <v>17</v>
      </c>
      <c r="G577" s="4" t="str">
        <f>"07093-2639"</f>
        <v>07093-2639</v>
      </c>
      <c r="H577" s="1">
        <v>0</v>
      </c>
      <c r="I577" s="1">
        <v>0</v>
      </c>
      <c r="J577" s="1">
        <v>0</v>
      </c>
      <c r="K577" s="1">
        <v>75</v>
      </c>
      <c r="L577" s="1" t="s">
        <v>306</v>
      </c>
      <c r="M577" s="1" t="s">
        <v>4046</v>
      </c>
      <c r="N577" s="1" t="s">
        <v>13</v>
      </c>
      <c r="O577" s="1" t="s">
        <v>4047</v>
      </c>
    </row>
    <row r="578" spans="1:15" x14ac:dyDescent="0.4">
      <c r="A578" s="1" t="s">
        <v>4947</v>
      </c>
      <c r="B578" s="1" t="s">
        <v>4939</v>
      </c>
      <c r="C578" s="1" t="s">
        <v>4950</v>
      </c>
      <c r="D578" s="1" t="s">
        <v>4632</v>
      </c>
      <c r="E578" s="1" t="s">
        <v>4704</v>
      </c>
      <c r="F578" s="1" t="s">
        <v>17</v>
      </c>
      <c r="G578" s="4" t="str">
        <f>"08859-1672"</f>
        <v>08859-1672</v>
      </c>
      <c r="H578" s="1">
        <v>0</v>
      </c>
      <c r="I578" s="1">
        <v>0</v>
      </c>
      <c r="J578" s="1">
        <v>0</v>
      </c>
      <c r="K578" s="1">
        <v>94</v>
      </c>
      <c r="L578" s="1" t="s">
        <v>414</v>
      </c>
      <c r="M578" s="1" t="s">
        <v>4948</v>
      </c>
      <c r="N578" s="1" t="s">
        <v>13</v>
      </c>
      <c r="O578" s="1" t="s">
        <v>4949</v>
      </c>
    </row>
    <row r="579" spans="1:15" x14ac:dyDescent="0.4">
      <c r="A579" s="1" t="s">
        <v>1622</v>
      </c>
      <c r="B579" s="1" t="s">
        <v>1615</v>
      </c>
      <c r="C579" s="1" t="s">
        <v>1626</v>
      </c>
      <c r="D579" s="1" t="s">
        <v>1620</v>
      </c>
      <c r="E579" s="1" t="s">
        <v>8019</v>
      </c>
      <c r="F579" s="1" t="s">
        <v>17</v>
      </c>
      <c r="G579" s="4" t="str">
        <f>"08054"</f>
        <v>08054</v>
      </c>
      <c r="H579" s="1">
        <v>0</v>
      </c>
      <c r="I579" s="1">
        <v>0</v>
      </c>
      <c r="J579" s="1">
        <v>0</v>
      </c>
      <c r="K579" s="1">
        <v>0</v>
      </c>
      <c r="L579" s="1" t="s">
        <v>1623</v>
      </c>
      <c r="M579" s="1" t="s">
        <v>1624</v>
      </c>
      <c r="N579" s="1" t="s">
        <v>13</v>
      </c>
      <c r="O579" s="1" t="s">
        <v>1625</v>
      </c>
    </row>
    <row r="580" spans="1:15" x14ac:dyDescent="0.4">
      <c r="A580" s="1" t="s">
        <v>3185</v>
      </c>
      <c r="B580" s="1" t="s">
        <v>3176</v>
      </c>
      <c r="C580" s="1" t="s">
        <v>3187</v>
      </c>
      <c r="D580" s="1" t="s">
        <v>3180</v>
      </c>
      <c r="E580" s="1" t="s">
        <v>8024</v>
      </c>
      <c r="F580" s="1" t="s">
        <v>17</v>
      </c>
      <c r="G580" s="4" t="str">
        <f>"07078"</f>
        <v>07078</v>
      </c>
      <c r="H580" s="1">
        <v>0</v>
      </c>
      <c r="I580" s="1">
        <v>0</v>
      </c>
      <c r="J580" s="1">
        <v>0</v>
      </c>
      <c r="K580" s="1">
        <v>55</v>
      </c>
      <c r="L580" s="1" t="s">
        <v>189</v>
      </c>
      <c r="M580" s="1" t="s">
        <v>985</v>
      </c>
      <c r="N580" s="1" t="s">
        <v>1183</v>
      </c>
      <c r="O580" s="1" t="s">
        <v>3186</v>
      </c>
    </row>
    <row r="581" spans="1:15" x14ac:dyDescent="0.4">
      <c r="A581" s="1" t="s">
        <v>720</v>
      </c>
      <c r="B581" s="1" t="s">
        <v>718</v>
      </c>
      <c r="C581" s="1" t="s">
        <v>724</v>
      </c>
      <c r="D581" s="1" t="s">
        <v>719</v>
      </c>
      <c r="E581" s="1" t="s">
        <v>8018</v>
      </c>
      <c r="F581" s="1" t="s">
        <v>17</v>
      </c>
      <c r="G581" s="4" t="str">
        <f>"07604-1402"</f>
        <v>07604-1402</v>
      </c>
      <c r="H581" s="1">
        <v>0</v>
      </c>
      <c r="I581" s="1">
        <v>0</v>
      </c>
      <c r="J581" s="1">
        <v>0</v>
      </c>
      <c r="K581" s="1">
        <v>0</v>
      </c>
      <c r="L581" s="1" t="s">
        <v>721</v>
      </c>
      <c r="M581" s="1" t="s">
        <v>722</v>
      </c>
      <c r="N581" s="1" t="s">
        <v>13</v>
      </c>
      <c r="O581" s="1" t="s">
        <v>723</v>
      </c>
    </row>
    <row r="582" spans="1:15" x14ac:dyDescent="0.4">
      <c r="A582" s="1" t="s">
        <v>725</v>
      </c>
      <c r="B582" s="1" t="s">
        <v>718</v>
      </c>
      <c r="C582" s="1" t="s">
        <v>724</v>
      </c>
      <c r="D582" s="1" t="s">
        <v>719</v>
      </c>
      <c r="E582" s="1" t="s">
        <v>8018</v>
      </c>
      <c r="F582" s="1" t="s">
        <v>17</v>
      </c>
      <c r="G582" s="4" t="str">
        <f>"07604-1402"</f>
        <v>07604-1402</v>
      </c>
      <c r="H582" s="1">
        <v>0</v>
      </c>
      <c r="I582" s="1">
        <v>0</v>
      </c>
      <c r="J582" s="1">
        <v>0</v>
      </c>
      <c r="K582" s="1">
        <v>0</v>
      </c>
      <c r="L582" s="1" t="s">
        <v>62</v>
      </c>
      <c r="M582" s="1" t="s">
        <v>726</v>
      </c>
      <c r="N582" s="1" t="s">
        <v>13</v>
      </c>
      <c r="O582" s="1" t="s">
        <v>727</v>
      </c>
    </row>
    <row r="583" spans="1:15" x14ac:dyDescent="0.4">
      <c r="A583" s="1" t="s">
        <v>6853</v>
      </c>
      <c r="B583" s="1" t="s">
        <v>6852</v>
      </c>
      <c r="C583" s="1" t="s">
        <v>6855</v>
      </c>
      <c r="D583" s="1" t="s">
        <v>6856</v>
      </c>
      <c r="E583" s="1" t="s">
        <v>2670</v>
      </c>
      <c r="F583" s="1" t="s">
        <v>17</v>
      </c>
      <c r="G583" s="4" t="str">
        <f>"07420-1322"</f>
        <v>07420-1322</v>
      </c>
      <c r="H583" s="1">
        <v>0</v>
      </c>
      <c r="I583" s="1">
        <v>0</v>
      </c>
      <c r="J583" s="1">
        <v>0</v>
      </c>
      <c r="K583" s="1">
        <v>45</v>
      </c>
      <c r="L583" s="1" t="s">
        <v>1459</v>
      </c>
      <c r="M583" s="1" t="s">
        <v>41</v>
      </c>
      <c r="N583" s="1" t="s">
        <v>13</v>
      </c>
      <c r="O583" s="1" t="s">
        <v>6854</v>
      </c>
    </row>
    <row r="584" spans="1:15" x14ac:dyDescent="0.4">
      <c r="A584" s="1" t="s">
        <v>2566</v>
      </c>
      <c r="B584" s="1" t="s">
        <v>2566</v>
      </c>
      <c r="C584" s="1" t="s">
        <v>2570</v>
      </c>
      <c r="D584" s="1" t="s">
        <v>2571</v>
      </c>
      <c r="E584" s="1" t="s">
        <v>8022</v>
      </c>
      <c r="F584" s="1" t="s">
        <v>17</v>
      </c>
      <c r="G584" s="4" t="str">
        <f>"08816"</f>
        <v>08816</v>
      </c>
      <c r="H584" s="1">
        <v>0</v>
      </c>
      <c r="I584" s="1">
        <v>0</v>
      </c>
      <c r="J584" s="1">
        <v>0</v>
      </c>
      <c r="K584" s="1">
        <v>74</v>
      </c>
      <c r="L584" s="1" t="s">
        <v>2567</v>
      </c>
      <c r="M584" s="1" t="s">
        <v>2568</v>
      </c>
      <c r="N584" s="1" t="s">
        <v>129</v>
      </c>
      <c r="O584" s="1" t="s">
        <v>2569</v>
      </c>
    </row>
    <row r="585" spans="1:15" x14ac:dyDescent="0.4">
      <c r="A585" s="1" t="s">
        <v>1821</v>
      </c>
      <c r="B585" s="1" t="s">
        <v>1811</v>
      </c>
      <c r="C585" s="1" t="s">
        <v>1822</v>
      </c>
      <c r="D585" s="1" t="s">
        <v>1816</v>
      </c>
      <c r="E585" s="1" t="s">
        <v>1909</v>
      </c>
      <c r="F585" s="1" t="s">
        <v>17</v>
      </c>
      <c r="G585" s="4" t="str">
        <f>"08106"</f>
        <v>08106</v>
      </c>
      <c r="H585" s="1">
        <v>4</v>
      </c>
      <c r="I585" s="1">
        <v>1.8</v>
      </c>
      <c r="J585" s="1">
        <v>0</v>
      </c>
      <c r="K585" s="1">
        <v>72</v>
      </c>
      <c r="L585" s="1" t="s">
        <v>1817</v>
      </c>
      <c r="M585" s="1" t="s">
        <v>1818</v>
      </c>
      <c r="N585" s="1" t="s">
        <v>13</v>
      </c>
      <c r="O585" s="1" t="s">
        <v>1819</v>
      </c>
    </row>
    <row r="586" spans="1:15" x14ac:dyDescent="0.4">
      <c r="A586" s="1" t="s">
        <v>1068</v>
      </c>
      <c r="B586" s="1" t="s">
        <v>1058</v>
      </c>
      <c r="C586" s="1" t="s">
        <v>1072</v>
      </c>
      <c r="D586" s="1" t="s">
        <v>1063</v>
      </c>
      <c r="E586" s="1" t="s">
        <v>8018</v>
      </c>
      <c r="F586" s="1" t="s">
        <v>17</v>
      </c>
      <c r="G586" s="4" t="str">
        <f>"07451"</f>
        <v>07451</v>
      </c>
      <c r="H586" s="1">
        <v>0</v>
      </c>
      <c r="I586" s="1">
        <v>0</v>
      </c>
      <c r="J586" s="1">
        <v>0</v>
      </c>
      <c r="K586" s="1">
        <v>41</v>
      </c>
      <c r="L586" s="1" t="s">
        <v>1069</v>
      </c>
      <c r="M586" s="1" t="s">
        <v>1070</v>
      </c>
      <c r="N586" s="1" t="s">
        <v>13</v>
      </c>
      <c r="O586" s="1" t="s">
        <v>1071</v>
      </c>
    </row>
    <row r="587" spans="1:15" x14ac:dyDescent="0.4">
      <c r="A587" s="1" t="s">
        <v>3290</v>
      </c>
      <c r="B587" s="1" t="s">
        <v>3249</v>
      </c>
      <c r="C587" s="1" t="s">
        <v>3292</v>
      </c>
      <c r="D587" s="1" t="s">
        <v>2526</v>
      </c>
      <c r="E587" s="1" t="s">
        <v>8024</v>
      </c>
      <c r="F587" s="1" t="s">
        <v>17</v>
      </c>
      <c r="G587" s="4" t="str">
        <f>"07105-3918"</f>
        <v>07105-3918</v>
      </c>
      <c r="H587" s="1">
        <v>0</v>
      </c>
      <c r="I587" s="1">
        <v>0</v>
      </c>
      <c r="J587" s="1">
        <v>0</v>
      </c>
      <c r="K587" s="1">
        <v>58</v>
      </c>
      <c r="L587" s="1" t="s">
        <v>3250</v>
      </c>
      <c r="M587" s="1" t="s">
        <v>312</v>
      </c>
      <c r="N587" s="1" t="s">
        <v>1183</v>
      </c>
      <c r="O587" s="1" t="s">
        <v>3291</v>
      </c>
    </row>
    <row r="588" spans="1:15" x14ac:dyDescent="0.4">
      <c r="A588" s="1" t="s">
        <v>6583</v>
      </c>
      <c r="B588" s="1" t="s">
        <v>6582</v>
      </c>
      <c r="C588" s="1" t="s">
        <v>6586</v>
      </c>
      <c r="D588" s="1" t="s">
        <v>6587</v>
      </c>
      <c r="E588" s="1" t="s">
        <v>2670</v>
      </c>
      <c r="F588" s="1" t="s">
        <v>17</v>
      </c>
      <c r="G588" s="4" t="str">
        <f>"07506"</f>
        <v>07506</v>
      </c>
      <c r="H588" s="1">
        <v>0</v>
      </c>
      <c r="I588" s="1">
        <v>0</v>
      </c>
      <c r="J588" s="1">
        <v>0</v>
      </c>
      <c r="K588" s="1">
        <v>0</v>
      </c>
      <c r="L588" s="1" t="s">
        <v>11</v>
      </c>
      <c r="M588" s="1" t="s">
        <v>6584</v>
      </c>
      <c r="N588" s="1" t="s">
        <v>13</v>
      </c>
      <c r="O588" s="1" t="s">
        <v>6585</v>
      </c>
    </row>
    <row r="589" spans="1:15" x14ac:dyDescent="0.4">
      <c r="A589" s="1" t="s">
        <v>1772</v>
      </c>
      <c r="B589" s="1" t="s">
        <v>1769</v>
      </c>
      <c r="C589" s="1" t="s">
        <v>1776</v>
      </c>
      <c r="D589" s="1" t="s">
        <v>1777</v>
      </c>
      <c r="E589" s="1" t="s">
        <v>8019</v>
      </c>
      <c r="F589" s="1" t="s">
        <v>17</v>
      </c>
      <c r="G589" s="4" t="str">
        <f>"08046"</f>
        <v>08046</v>
      </c>
      <c r="H589" s="1">
        <v>0</v>
      </c>
      <c r="I589" s="1">
        <v>0</v>
      </c>
      <c r="J589" s="1">
        <v>0</v>
      </c>
      <c r="K589" s="1">
        <v>0</v>
      </c>
      <c r="L589" s="1" t="s">
        <v>1773</v>
      </c>
      <c r="M589" s="1" t="s">
        <v>1774</v>
      </c>
      <c r="N589" s="1" t="s">
        <v>13</v>
      </c>
      <c r="O589" s="1" t="s">
        <v>1775</v>
      </c>
    </row>
    <row r="590" spans="1:15" x14ac:dyDescent="0.4">
      <c r="A590" s="1" t="s">
        <v>3507</v>
      </c>
      <c r="B590" s="1" t="s">
        <v>3497</v>
      </c>
      <c r="C590" s="1" t="s">
        <v>3509</v>
      </c>
      <c r="D590" s="1" t="s">
        <v>3501</v>
      </c>
      <c r="E590" s="1" t="s">
        <v>8024</v>
      </c>
      <c r="F590" s="1" t="s">
        <v>17</v>
      </c>
      <c r="G590" s="4" t="str">
        <f>"07052-4524"</f>
        <v>07052-4524</v>
      </c>
      <c r="H590" s="1">
        <v>0</v>
      </c>
      <c r="I590" s="1">
        <v>0</v>
      </c>
      <c r="J590" s="1">
        <v>0</v>
      </c>
      <c r="K590" s="1">
        <v>53</v>
      </c>
      <c r="L590" s="1" t="s">
        <v>2377</v>
      </c>
      <c r="M590" s="1" t="s">
        <v>1640</v>
      </c>
      <c r="N590" s="1" t="s">
        <v>13</v>
      </c>
      <c r="O590" s="1" t="s">
        <v>3508</v>
      </c>
    </row>
    <row r="591" spans="1:15" x14ac:dyDescent="0.4">
      <c r="A591" s="1" t="s">
        <v>5262</v>
      </c>
      <c r="B591" s="1" t="s">
        <v>5251</v>
      </c>
      <c r="C591" s="1" t="s">
        <v>5265</v>
      </c>
      <c r="D591" s="1" t="s">
        <v>5257</v>
      </c>
      <c r="E591" s="1" t="s">
        <v>8027</v>
      </c>
      <c r="F591" s="1" t="s">
        <v>17</v>
      </c>
      <c r="G591" s="4" t="str">
        <f>"07730-2454"</f>
        <v>07730-2454</v>
      </c>
      <c r="H591" s="1">
        <v>0</v>
      </c>
      <c r="I591" s="1">
        <v>0</v>
      </c>
      <c r="J591" s="1">
        <v>0</v>
      </c>
      <c r="K591" s="1">
        <v>0</v>
      </c>
      <c r="L591" s="1" t="s">
        <v>380</v>
      </c>
      <c r="M591" s="1" t="s">
        <v>5263</v>
      </c>
      <c r="N591" s="1" t="s">
        <v>13</v>
      </c>
      <c r="O591" s="1" t="s">
        <v>5264</v>
      </c>
    </row>
    <row r="592" spans="1:15" x14ac:dyDescent="0.4">
      <c r="A592" s="1" t="s">
        <v>4447</v>
      </c>
      <c r="B592" s="1" t="s">
        <v>4393</v>
      </c>
      <c r="C592" s="1" t="s">
        <v>4449</v>
      </c>
      <c r="D592" s="1" t="s">
        <v>2600</v>
      </c>
      <c r="E592" s="1" t="s">
        <v>8026</v>
      </c>
      <c r="F592" s="1" t="s">
        <v>17</v>
      </c>
      <c r="G592" s="4" t="str">
        <f>"08629"</f>
        <v>08629</v>
      </c>
      <c r="H592" s="1">
        <v>0</v>
      </c>
      <c r="I592" s="1">
        <v>0</v>
      </c>
      <c r="J592" s="1">
        <v>0</v>
      </c>
      <c r="K592" s="1">
        <v>0</v>
      </c>
      <c r="L592" s="1" t="s">
        <v>90</v>
      </c>
      <c r="M592" s="1" t="s">
        <v>2036</v>
      </c>
      <c r="N592" s="1" t="s">
        <v>13</v>
      </c>
      <c r="O592" s="1" t="s">
        <v>4448</v>
      </c>
    </row>
    <row r="593" spans="1:15" x14ac:dyDescent="0.4">
      <c r="A593" s="1" t="s">
        <v>911</v>
      </c>
      <c r="B593" s="1" t="s">
        <v>904</v>
      </c>
      <c r="C593" s="1" t="s">
        <v>915</v>
      </c>
      <c r="D593" s="1" t="s">
        <v>910</v>
      </c>
      <c r="E593" s="1" t="s">
        <v>8018</v>
      </c>
      <c r="F593" s="1" t="s">
        <v>17</v>
      </c>
      <c r="G593" s="4" t="str">
        <f>"07436-2924"</f>
        <v>07436-2924</v>
      </c>
      <c r="H593" s="1">
        <v>0</v>
      </c>
      <c r="I593" s="1">
        <v>0</v>
      </c>
      <c r="J593" s="1">
        <v>0</v>
      </c>
      <c r="K593" s="1">
        <v>56</v>
      </c>
      <c r="L593" s="1" t="s">
        <v>912</v>
      </c>
      <c r="M593" s="1" t="s">
        <v>913</v>
      </c>
      <c r="N593" s="1" t="s">
        <v>13</v>
      </c>
      <c r="O593" s="1" t="s">
        <v>914</v>
      </c>
    </row>
    <row r="594" spans="1:15" x14ac:dyDescent="0.4">
      <c r="A594" s="1" t="s">
        <v>1672</v>
      </c>
      <c r="B594" s="1" t="s">
        <v>1666</v>
      </c>
      <c r="C594" s="1" t="s">
        <v>1676</v>
      </c>
      <c r="D594" s="1" t="s">
        <v>1677</v>
      </c>
      <c r="E594" s="1" t="s">
        <v>8019</v>
      </c>
      <c r="F594" s="1" t="s">
        <v>17</v>
      </c>
      <c r="G594" s="4" t="str">
        <f>"08068"</f>
        <v>08068</v>
      </c>
      <c r="H594" s="1">
        <v>0</v>
      </c>
      <c r="I594" s="1">
        <v>0</v>
      </c>
      <c r="J594" s="1">
        <v>0</v>
      </c>
      <c r="K594" s="1">
        <v>0</v>
      </c>
      <c r="L594" s="1" t="s">
        <v>1673</v>
      </c>
      <c r="M594" s="1" t="s">
        <v>1674</v>
      </c>
      <c r="N594" s="1" t="s">
        <v>13</v>
      </c>
      <c r="O594" s="1" t="s">
        <v>1675</v>
      </c>
    </row>
    <row r="595" spans="1:15" x14ac:dyDescent="0.4">
      <c r="A595" s="1" t="s">
        <v>1162</v>
      </c>
      <c r="B595" s="1" t="s">
        <v>1157</v>
      </c>
      <c r="C595" s="1" t="s">
        <v>1165</v>
      </c>
      <c r="D595" s="1" t="s">
        <v>1161</v>
      </c>
      <c r="E595" s="1" t="s">
        <v>8018</v>
      </c>
      <c r="F595" s="1" t="s">
        <v>17</v>
      </c>
      <c r="G595" s="4" t="str">
        <f>"07663"</f>
        <v>07663</v>
      </c>
      <c r="H595" s="1">
        <v>0</v>
      </c>
      <c r="I595" s="1">
        <v>0</v>
      </c>
      <c r="J595" s="1">
        <v>0</v>
      </c>
      <c r="K595" s="1">
        <v>43</v>
      </c>
      <c r="L595" s="1" t="s">
        <v>1124</v>
      </c>
      <c r="M595" s="1" t="s">
        <v>1163</v>
      </c>
      <c r="N595" s="1" t="s">
        <v>13</v>
      </c>
      <c r="O595" s="1" t="s">
        <v>1164</v>
      </c>
    </row>
    <row r="596" spans="1:15" x14ac:dyDescent="0.4">
      <c r="A596" s="1" t="s">
        <v>1482</v>
      </c>
      <c r="B596" s="1" t="s">
        <v>1474</v>
      </c>
      <c r="C596" s="1" t="s">
        <v>1485</v>
      </c>
      <c r="D596" s="1" t="s">
        <v>1480</v>
      </c>
      <c r="E596" s="1" t="s">
        <v>8019</v>
      </c>
      <c r="F596" s="1" t="s">
        <v>17</v>
      </c>
      <c r="G596" s="4" t="str">
        <f>"08053"</f>
        <v>08053</v>
      </c>
      <c r="H596" s="1">
        <v>0</v>
      </c>
      <c r="I596" s="1">
        <v>0</v>
      </c>
      <c r="J596" s="1">
        <v>0</v>
      </c>
      <c r="K596" s="1">
        <v>98</v>
      </c>
      <c r="L596" s="1" t="s">
        <v>42</v>
      </c>
      <c r="M596" s="1" t="s">
        <v>1483</v>
      </c>
      <c r="N596" s="1" t="s">
        <v>13</v>
      </c>
      <c r="O596" s="1" t="s">
        <v>1484</v>
      </c>
    </row>
    <row r="597" spans="1:15" x14ac:dyDescent="0.4">
      <c r="A597" s="1" t="s">
        <v>569</v>
      </c>
      <c r="B597" s="1" t="s">
        <v>561</v>
      </c>
      <c r="C597" s="1" t="s">
        <v>572</v>
      </c>
      <c r="D597" s="1" t="s">
        <v>567</v>
      </c>
      <c r="E597" s="1" t="s">
        <v>8018</v>
      </c>
      <c r="F597" s="1" t="s">
        <v>17</v>
      </c>
      <c r="G597" s="4" t="str">
        <f>"07410"</f>
        <v>07410</v>
      </c>
      <c r="H597" s="1">
        <v>0</v>
      </c>
      <c r="I597" s="1">
        <v>0</v>
      </c>
      <c r="J597" s="1">
        <v>0</v>
      </c>
      <c r="K597" s="1">
        <v>71</v>
      </c>
      <c r="L597" s="1" t="s">
        <v>363</v>
      </c>
      <c r="M597" s="1" t="s">
        <v>570</v>
      </c>
      <c r="N597" s="1" t="s">
        <v>13</v>
      </c>
      <c r="O597" s="1" t="s">
        <v>571</v>
      </c>
    </row>
    <row r="598" spans="1:15" x14ac:dyDescent="0.4">
      <c r="A598" s="1" t="s">
        <v>3480</v>
      </c>
      <c r="B598" s="1" t="s">
        <v>3467</v>
      </c>
      <c r="C598" s="1" t="s">
        <v>3483</v>
      </c>
      <c r="D598" s="1" t="s">
        <v>3472</v>
      </c>
      <c r="E598" s="1" t="s">
        <v>8024</v>
      </c>
      <c r="F598" s="1" t="s">
        <v>17</v>
      </c>
      <c r="G598" s="4" t="str">
        <f>"07044-1817"</f>
        <v>07044-1817</v>
      </c>
      <c r="H598" s="1">
        <v>0</v>
      </c>
      <c r="I598" s="1">
        <v>0</v>
      </c>
      <c r="J598" s="1">
        <v>0</v>
      </c>
      <c r="K598" s="1">
        <v>0</v>
      </c>
      <c r="L598" s="1" t="s">
        <v>128</v>
      </c>
      <c r="M598" s="1" t="s">
        <v>3481</v>
      </c>
      <c r="N598" s="1" t="s">
        <v>13</v>
      </c>
      <c r="O598" s="1" t="s">
        <v>3482</v>
      </c>
    </row>
    <row r="599" spans="1:15" x14ac:dyDescent="0.4">
      <c r="A599" s="1" t="s">
        <v>1901</v>
      </c>
      <c r="B599" s="1" t="s">
        <v>1872</v>
      </c>
      <c r="C599" s="1" t="s">
        <v>1904</v>
      </c>
      <c r="D599" s="1" t="s">
        <v>1810</v>
      </c>
      <c r="E599" s="1" t="s">
        <v>1909</v>
      </c>
      <c r="F599" s="1" t="s">
        <v>17</v>
      </c>
      <c r="G599" s="4" t="str">
        <f>"08104"</f>
        <v>08104</v>
      </c>
      <c r="H599" s="1">
        <v>0</v>
      </c>
      <c r="I599" s="1">
        <v>0</v>
      </c>
      <c r="J599" s="1">
        <v>0</v>
      </c>
      <c r="K599" s="1">
        <v>26</v>
      </c>
      <c r="L599" s="1" t="s">
        <v>43</v>
      </c>
      <c r="M599" s="1" t="s">
        <v>1902</v>
      </c>
      <c r="N599" s="1" t="s">
        <v>13</v>
      </c>
      <c r="O599" s="1" t="s">
        <v>1903</v>
      </c>
    </row>
    <row r="600" spans="1:15" x14ac:dyDescent="0.4">
      <c r="A600" s="1" t="s">
        <v>1953</v>
      </c>
      <c r="B600" s="1" t="s">
        <v>1927</v>
      </c>
      <c r="C600" s="1" t="s">
        <v>1956</v>
      </c>
      <c r="D600" s="1" t="s">
        <v>1933</v>
      </c>
      <c r="E600" s="1" t="s">
        <v>1909</v>
      </c>
      <c r="F600" s="1" t="s">
        <v>17</v>
      </c>
      <c r="G600" s="4" t="str">
        <f>"08003-1499"</f>
        <v>08003-1499</v>
      </c>
      <c r="H600" s="1">
        <v>0</v>
      </c>
      <c r="I600" s="1">
        <v>0</v>
      </c>
      <c r="J600" s="1">
        <v>0</v>
      </c>
      <c r="K600" s="1">
        <v>0</v>
      </c>
      <c r="L600" s="1" t="s">
        <v>1304</v>
      </c>
      <c r="M600" s="1" t="s">
        <v>1954</v>
      </c>
      <c r="N600" s="1" t="s">
        <v>13</v>
      </c>
      <c r="O600" s="1" t="s">
        <v>1955</v>
      </c>
    </row>
    <row r="601" spans="1:15" x14ac:dyDescent="0.4">
      <c r="A601" s="1" t="s">
        <v>389</v>
      </c>
      <c r="B601" s="1" t="s">
        <v>388</v>
      </c>
      <c r="C601" s="1" t="s">
        <v>393</v>
      </c>
      <c r="D601" s="1" t="s">
        <v>394</v>
      </c>
      <c r="E601" s="1" t="s">
        <v>8018</v>
      </c>
      <c r="F601" s="1" t="s">
        <v>17</v>
      </c>
      <c r="G601" s="4" t="str">
        <f>"07073"</f>
        <v>07073</v>
      </c>
      <c r="H601" s="1">
        <v>0</v>
      </c>
      <c r="I601" s="1">
        <v>0</v>
      </c>
      <c r="J601" s="1">
        <v>0</v>
      </c>
      <c r="K601" s="1">
        <v>0</v>
      </c>
      <c r="L601" s="1" t="s">
        <v>390</v>
      </c>
      <c r="M601" s="1" t="s">
        <v>391</v>
      </c>
      <c r="N601" s="1" t="s">
        <v>13</v>
      </c>
      <c r="O601" s="1" t="s">
        <v>392</v>
      </c>
    </row>
    <row r="602" spans="1:15" x14ac:dyDescent="0.4">
      <c r="A602" s="1" t="s">
        <v>3905</v>
      </c>
      <c r="B602" s="1" t="s">
        <v>3883</v>
      </c>
      <c r="C602" s="1" t="s">
        <v>3907</v>
      </c>
      <c r="D602" s="1" t="s">
        <v>2605</v>
      </c>
      <c r="E602" s="1" t="s">
        <v>3646</v>
      </c>
      <c r="F602" s="1" t="s">
        <v>17</v>
      </c>
      <c r="G602" s="4" t="str">
        <f>"07305-1524"</f>
        <v>07305-1524</v>
      </c>
      <c r="H602" s="1">
        <v>0</v>
      </c>
      <c r="I602" s="1">
        <v>0</v>
      </c>
      <c r="J602" s="1">
        <v>0</v>
      </c>
      <c r="K602" s="1">
        <v>0</v>
      </c>
      <c r="L602" s="1" t="s">
        <v>987</v>
      </c>
      <c r="M602" s="1" t="s">
        <v>421</v>
      </c>
      <c r="N602" s="1" t="s">
        <v>13</v>
      </c>
      <c r="O602" s="1" t="s">
        <v>3906</v>
      </c>
    </row>
    <row r="603" spans="1:15" x14ac:dyDescent="0.4">
      <c r="A603" s="1" t="s">
        <v>4577</v>
      </c>
      <c r="B603" s="1" t="s">
        <v>4570</v>
      </c>
      <c r="C603" s="1" t="s">
        <v>4580</v>
      </c>
      <c r="D603" s="1" t="s">
        <v>4571</v>
      </c>
      <c r="E603" s="1" t="s">
        <v>4704</v>
      </c>
      <c r="F603" s="1" t="s">
        <v>17</v>
      </c>
      <c r="G603" s="4" t="str">
        <f>"08837"</f>
        <v>08837</v>
      </c>
      <c r="H603" s="1">
        <v>0</v>
      </c>
      <c r="I603" s="1">
        <v>0</v>
      </c>
      <c r="J603" s="1">
        <v>0</v>
      </c>
      <c r="K603" s="1">
        <v>0</v>
      </c>
      <c r="L603" s="1" t="s">
        <v>50</v>
      </c>
      <c r="M603" s="1" t="s">
        <v>4578</v>
      </c>
      <c r="N603" s="1" t="s">
        <v>13</v>
      </c>
      <c r="O603" s="1" t="s">
        <v>4579</v>
      </c>
    </row>
    <row r="604" spans="1:15" x14ac:dyDescent="0.4">
      <c r="A604" s="1" t="s">
        <v>4871</v>
      </c>
      <c r="B604" s="1" t="s">
        <v>4858</v>
      </c>
      <c r="C604" s="1" t="s">
        <v>4874</v>
      </c>
      <c r="D604" s="1" t="s">
        <v>4719</v>
      </c>
      <c r="E604" s="1" t="s">
        <v>4704</v>
      </c>
      <c r="F604" s="1" t="s">
        <v>17</v>
      </c>
      <c r="G604" s="4" t="str">
        <f>"08861-3910"</f>
        <v>08861-3910</v>
      </c>
      <c r="H604" s="1">
        <v>0</v>
      </c>
      <c r="I604" s="1">
        <v>0</v>
      </c>
      <c r="J604" s="1">
        <v>0</v>
      </c>
      <c r="K604" s="1">
        <v>89</v>
      </c>
      <c r="L604" s="1" t="s">
        <v>1470</v>
      </c>
      <c r="M604" s="1" t="s">
        <v>4872</v>
      </c>
      <c r="N604" s="1" t="s">
        <v>13</v>
      </c>
      <c r="O604" s="1" t="s">
        <v>4873</v>
      </c>
    </row>
    <row r="605" spans="1:15" x14ac:dyDescent="0.4">
      <c r="A605" s="1" t="s">
        <v>3153</v>
      </c>
      <c r="B605" s="1" t="s">
        <v>3144</v>
      </c>
      <c r="C605" s="1" t="s">
        <v>3155</v>
      </c>
      <c r="D605" s="1" t="s">
        <v>3145</v>
      </c>
      <c r="E605" s="1" t="s">
        <v>8024</v>
      </c>
      <c r="F605" s="1" t="s">
        <v>17</v>
      </c>
      <c r="G605" s="4" t="str">
        <f>"07039-2614"</f>
        <v>07039-2614</v>
      </c>
      <c r="H605" s="1">
        <v>0</v>
      </c>
      <c r="I605" s="1">
        <v>0</v>
      </c>
      <c r="J605" s="1">
        <v>0</v>
      </c>
      <c r="K605" s="1">
        <v>0</v>
      </c>
      <c r="L605" s="1" t="s">
        <v>1579</v>
      </c>
      <c r="M605" s="1" t="s">
        <v>28</v>
      </c>
      <c r="N605" s="1" t="s">
        <v>13</v>
      </c>
      <c r="O605" s="1" t="s">
        <v>3154</v>
      </c>
    </row>
    <row r="606" spans="1:15" x14ac:dyDescent="0.4">
      <c r="A606" s="1" t="s">
        <v>4115</v>
      </c>
      <c r="B606" s="1" t="s">
        <v>4113</v>
      </c>
      <c r="C606" s="1" t="s">
        <v>4118</v>
      </c>
      <c r="D606" s="1" t="s">
        <v>4114</v>
      </c>
      <c r="E606" s="1" t="s">
        <v>8025</v>
      </c>
      <c r="F606" s="1" t="s">
        <v>17</v>
      </c>
      <c r="G606" s="4" t="str">
        <f>"08829-2010"</f>
        <v>08829-2010</v>
      </c>
      <c r="H606" s="1">
        <v>0</v>
      </c>
      <c r="I606" s="1">
        <v>0</v>
      </c>
      <c r="J606" s="1">
        <v>0</v>
      </c>
      <c r="K606" s="1">
        <v>0</v>
      </c>
      <c r="L606" s="1" t="s">
        <v>657</v>
      </c>
      <c r="M606" s="1" t="s">
        <v>4116</v>
      </c>
      <c r="N606" s="1" t="s">
        <v>13</v>
      </c>
      <c r="O606" s="1" t="s">
        <v>4117</v>
      </c>
    </row>
    <row r="607" spans="1:15" x14ac:dyDescent="0.4">
      <c r="A607" s="1" t="s">
        <v>6612</v>
      </c>
      <c r="B607" s="1" t="s">
        <v>6611</v>
      </c>
      <c r="C607" s="1" t="s">
        <v>6615</v>
      </c>
      <c r="D607" s="1" t="s">
        <v>6616</v>
      </c>
      <c r="E607" s="1" t="s">
        <v>2670</v>
      </c>
      <c r="F607" s="1" t="s">
        <v>17</v>
      </c>
      <c r="G607" s="4" t="str">
        <f>"07508-2603"</f>
        <v>07508-2603</v>
      </c>
      <c r="H607" s="1">
        <v>0</v>
      </c>
      <c r="I607" s="1">
        <v>0</v>
      </c>
      <c r="J607" s="1">
        <v>0</v>
      </c>
      <c r="K607" s="1">
        <v>0</v>
      </c>
      <c r="L607" s="1" t="s">
        <v>158</v>
      </c>
      <c r="M607" s="1" t="s">
        <v>6613</v>
      </c>
      <c r="N607" s="1" t="s">
        <v>13</v>
      </c>
      <c r="O607" s="1" t="s">
        <v>6614</v>
      </c>
    </row>
    <row r="608" spans="1:15" x14ac:dyDescent="0.4">
      <c r="A608" s="1" t="s">
        <v>7311</v>
      </c>
      <c r="B608" s="1" t="s">
        <v>7311</v>
      </c>
      <c r="C608" s="1" t="s">
        <v>7314</v>
      </c>
      <c r="D608" s="1" t="s">
        <v>2737</v>
      </c>
      <c r="E608" s="1" t="s">
        <v>8030</v>
      </c>
      <c r="F608" s="1" t="s">
        <v>17</v>
      </c>
      <c r="G608" s="4" t="str">
        <f>"07461-2733"</f>
        <v>07461-2733</v>
      </c>
      <c r="H608" s="1">
        <v>0</v>
      </c>
      <c r="I608" s="1">
        <v>0</v>
      </c>
      <c r="J608" s="1">
        <v>0</v>
      </c>
      <c r="K608" s="1">
        <v>0</v>
      </c>
      <c r="L608" s="1" t="s">
        <v>1794</v>
      </c>
      <c r="M608" s="1" t="s">
        <v>7312</v>
      </c>
      <c r="N608" s="1" t="s">
        <v>13</v>
      </c>
      <c r="O608" s="1" t="s">
        <v>7313</v>
      </c>
    </row>
    <row r="609" spans="1:15" x14ac:dyDescent="0.4">
      <c r="A609" s="1" t="s">
        <v>3882</v>
      </c>
      <c r="B609" s="1" t="s">
        <v>3864</v>
      </c>
      <c r="C609" s="1" t="s">
        <v>3868</v>
      </c>
      <c r="D609" s="1" t="s">
        <v>3869</v>
      </c>
      <c r="E609" s="1" t="s">
        <v>3646</v>
      </c>
      <c r="F609" s="1" t="s">
        <v>17</v>
      </c>
      <c r="G609" s="4" t="str">
        <f>"07094-1682"</f>
        <v>07094-1682</v>
      </c>
      <c r="H609" s="1">
        <v>0</v>
      </c>
      <c r="I609" s="1">
        <v>0</v>
      </c>
      <c r="J609" s="1">
        <v>0</v>
      </c>
      <c r="K609" s="1">
        <v>0</v>
      </c>
      <c r="L609" s="1" t="s">
        <v>31</v>
      </c>
      <c r="M609" s="1" t="s">
        <v>3866</v>
      </c>
      <c r="N609" s="1" t="s">
        <v>13</v>
      </c>
      <c r="O609" s="1" t="s">
        <v>3867</v>
      </c>
    </row>
    <row r="610" spans="1:15" x14ac:dyDescent="0.4">
      <c r="A610" s="1" t="s">
        <v>5550</v>
      </c>
      <c r="B610" s="1" t="s">
        <v>5536</v>
      </c>
      <c r="C610" s="1" t="s">
        <v>5553</v>
      </c>
      <c r="D610" s="1" t="s">
        <v>5489</v>
      </c>
      <c r="E610" s="1" t="s">
        <v>8027</v>
      </c>
      <c r="F610" s="1" t="s">
        <v>17</v>
      </c>
      <c r="G610" s="4" t="str">
        <f>"07738-0119"</f>
        <v>07738-0119</v>
      </c>
      <c r="H610" s="1">
        <v>0</v>
      </c>
      <c r="I610" s="1">
        <v>0</v>
      </c>
      <c r="J610" s="1">
        <v>0</v>
      </c>
      <c r="K610" s="1">
        <v>0</v>
      </c>
      <c r="L610" s="1" t="s">
        <v>235</v>
      </c>
      <c r="M610" s="1" t="s">
        <v>5551</v>
      </c>
      <c r="N610" s="1" t="s">
        <v>13</v>
      </c>
      <c r="O610" s="1" t="s">
        <v>5552</v>
      </c>
    </row>
    <row r="611" spans="1:15" x14ac:dyDescent="0.4">
      <c r="A611" s="1" t="s">
        <v>835</v>
      </c>
      <c r="B611" s="1" t="s">
        <v>834</v>
      </c>
      <c r="C611" s="1" t="s">
        <v>839</v>
      </c>
      <c r="D611" s="1" t="s">
        <v>840</v>
      </c>
      <c r="E611" s="1" t="s">
        <v>8018</v>
      </c>
      <c r="F611" s="1" t="s">
        <v>17</v>
      </c>
      <c r="G611" s="4" t="str">
        <f>"07432-1803"</f>
        <v>07432-1803</v>
      </c>
      <c r="H611" s="1">
        <v>0</v>
      </c>
      <c r="I611" s="1">
        <v>0</v>
      </c>
      <c r="J611" s="1">
        <v>0</v>
      </c>
      <c r="K611" s="1">
        <v>0</v>
      </c>
      <c r="L611" s="1" t="s">
        <v>836</v>
      </c>
      <c r="M611" s="1" t="s">
        <v>837</v>
      </c>
      <c r="N611" s="1" t="s">
        <v>13</v>
      </c>
      <c r="O611" s="1" t="s">
        <v>838</v>
      </c>
    </row>
    <row r="612" spans="1:15" x14ac:dyDescent="0.4">
      <c r="A612" s="1" t="s">
        <v>4653</v>
      </c>
      <c r="B612" s="1" t="s">
        <v>4646</v>
      </c>
      <c r="C612" s="1" t="s">
        <v>4657</v>
      </c>
      <c r="D612" s="1" t="s">
        <v>4652</v>
      </c>
      <c r="E612" s="1" t="s">
        <v>4704</v>
      </c>
      <c r="F612" s="1" t="s">
        <v>17</v>
      </c>
      <c r="G612" s="4" t="str">
        <f>"08904"</f>
        <v>08904</v>
      </c>
      <c r="H612" s="1">
        <v>0</v>
      </c>
      <c r="I612" s="1">
        <v>0</v>
      </c>
      <c r="J612" s="1">
        <v>0</v>
      </c>
      <c r="K612" s="1">
        <v>0</v>
      </c>
      <c r="L612" s="1" t="s">
        <v>4654</v>
      </c>
      <c r="M612" s="1" t="s">
        <v>4655</v>
      </c>
      <c r="N612" s="1" t="s">
        <v>13</v>
      </c>
      <c r="O612" s="1" t="s">
        <v>4656</v>
      </c>
    </row>
    <row r="613" spans="1:15" x14ac:dyDescent="0.4">
      <c r="A613" s="1" t="s">
        <v>4658</v>
      </c>
      <c r="B613" s="1" t="s">
        <v>4646</v>
      </c>
      <c r="C613" s="1" t="s">
        <v>4662</v>
      </c>
      <c r="D613" s="1" t="s">
        <v>4652</v>
      </c>
      <c r="E613" s="1" t="s">
        <v>4704</v>
      </c>
      <c r="F613" s="1" t="s">
        <v>17</v>
      </c>
      <c r="G613" s="4" t="str">
        <f>"08904"</f>
        <v>08904</v>
      </c>
      <c r="H613" s="1">
        <v>0</v>
      </c>
      <c r="I613" s="1">
        <v>0</v>
      </c>
      <c r="J613" s="1">
        <v>0</v>
      </c>
      <c r="K613" s="1">
        <v>0</v>
      </c>
      <c r="L613" s="1" t="s">
        <v>4659</v>
      </c>
      <c r="M613" s="1" t="s">
        <v>4660</v>
      </c>
      <c r="N613" s="1" t="s">
        <v>13</v>
      </c>
      <c r="O613" s="1" t="s">
        <v>4661</v>
      </c>
    </row>
    <row r="614" spans="1:15" x14ac:dyDescent="0.4">
      <c r="A614" s="1" t="s">
        <v>1857</v>
      </c>
      <c r="B614" s="1" t="s">
        <v>1856</v>
      </c>
      <c r="C614" s="1" t="s">
        <v>1860</v>
      </c>
      <c r="D614" s="1" t="s">
        <v>1861</v>
      </c>
      <c r="E614" s="1" t="s">
        <v>1909</v>
      </c>
      <c r="F614" s="1" t="s">
        <v>17</v>
      </c>
      <c r="G614" s="4" t="str">
        <f>"08012"</f>
        <v>08012</v>
      </c>
      <c r="H614" s="1">
        <v>0</v>
      </c>
      <c r="I614" s="1">
        <v>0</v>
      </c>
      <c r="J614" s="1">
        <v>0</v>
      </c>
      <c r="K614" s="1">
        <v>0</v>
      </c>
      <c r="L614" s="1" t="s">
        <v>42</v>
      </c>
      <c r="M614" s="1" t="s">
        <v>1858</v>
      </c>
      <c r="N614" s="1" t="s">
        <v>13</v>
      </c>
      <c r="O614" s="1" t="s">
        <v>1859</v>
      </c>
    </row>
    <row r="615" spans="1:15" x14ac:dyDescent="0.4">
      <c r="A615" s="1" t="s">
        <v>4204</v>
      </c>
      <c r="B615" s="1" t="s">
        <v>4193</v>
      </c>
      <c r="C615" s="1" t="s">
        <v>4207</v>
      </c>
      <c r="D615" s="1" t="s">
        <v>4203</v>
      </c>
      <c r="E615" s="1" t="s">
        <v>8026</v>
      </c>
      <c r="F615" s="1" t="s">
        <v>17</v>
      </c>
      <c r="G615" s="4" t="str">
        <f>"08520-4006"</f>
        <v>08520-4006</v>
      </c>
      <c r="H615" s="1">
        <v>0</v>
      </c>
      <c r="I615" s="1">
        <v>0</v>
      </c>
      <c r="J615" s="1">
        <v>0</v>
      </c>
      <c r="K615" s="1">
        <v>0</v>
      </c>
      <c r="L615" s="1" t="s">
        <v>318</v>
      </c>
      <c r="M615" s="1" t="s">
        <v>4205</v>
      </c>
      <c r="N615" s="1" t="s">
        <v>13</v>
      </c>
      <c r="O615" s="1" t="s">
        <v>4206</v>
      </c>
    </row>
    <row r="616" spans="1:15" x14ac:dyDescent="0.4">
      <c r="A616" s="1" t="s">
        <v>7810</v>
      </c>
      <c r="B616" s="1" t="s">
        <v>7808</v>
      </c>
      <c r="C616" s="1" t="s">
        <v>7813</v>
      </c>
      <c r="D616" s="1" t="s">
        <v>7728</v>
      </c>
      <c r="E616" s="1" t="s">
        <v>7833</v>
      </c>
      <c r="F616" s="1" t="s">
        <v>17</v>
      </c>
      <c r="G616" s="4" t="str">
        <f>"07076-2462"</f>
        <v>07076-2462</v>
      </c>
      <c r="H616" s="1">
        <v>0</v>
      </c>
      <c r="I616" s="1">
        <v>0</v>
      </c>
      <c r="J616" s="1">
        <v>0</v>
      </c>
      <c r="K616" s="1">
        <v>0</v>
      </c>
      <c r="L616" s="1" t="s">
        <v>434</v>
      </c>
      <c r="M616" s="1" t="s">
        <v>7811</v>
      </c>
      <c r="N616" s="1" t="s">
        <v>13</v>
      </c>
      <c r="O616" s="1" t="s">
        <v>7812</v>
      </c>
    </row>
    <row r="617" spans="1:15" x14ac:dyDescent="0.4">
      <c r="A617" s="1" t="s">
        <v>7814</v>
      </c>
      <c r="B617" s="1" t="s">
        <v>7808</v>
      </c>
      <c r="C617" s="1" t="s">
        <v>7817</v>
      </c>
      <c r="D617" s="1" t="s">
        <v>7809</v>
      </c>
      <c r="E617" s="1" t="s">
        <v>7833</v>
      </c>
      <c r="F617" s="1" t="s">
        <v>17</v>
      </c>
      <c r="G617" s="4" t="str">
        <f>"07090"</f>
        <v>07090</v>
      </c>
      <c r="H617" s="1">
        <v>0</v>
      </c>
      <c r="I617" s="1">
        <v>0</v>
      </c>
      <c r="J617" s="1">
        <v>0</v>
      </c>
      <c r="K617" s="1">
        <v>0</v>
      </c>
      <c r="L617" s="1" t="s">
        <v>30</v>
      </c>
      <c r="M617" s="1" t="s">
        <v>7815</v>
      </c>
      <c r="N617" s="1" t="s">
        <v>13</v>
      </c>
      <c r="O617" s="1" t="s">
        <v>7816</v>
      </c>
    </row>
    <row r="618" spans="1:15" x14ac:dyDescent="0.4">
      <c r="A618" s="1" t="s">
        <v>5967</v>
      </c>
      <c r="B618" s="1" t="s">
        <v>5955</v>
      </c>
      <c r="C618" s="1" t="s">
        <v>5970</v>
      </c>
      <c r="D618" s="1" t="s">
        <v>2789</v>
      </c>
      <c r="E618" s="1" t="s">
        <v>1503</v>
      </c>
      <c r="F618" s="1" t="s">
        <v>17</v>
      </c>
      <c r="G618" s="4" t="str">
        <f>"07960"</f>
        <v>07960</v>
      </c>
      <c r="H618" s="1">
        <v>0</v>
      </c>
      <c r="I618" s="1">
        <v>0</v>
      </c>
      <c r="J618" s="1">
        <v>0</v>
      </c>
      <c r="K618" s="1">
        <v>85</v>
      </c>
      <c r="L618" s="1" t="s">
        <v>143</v>
      </c>
      <c r="M618" s="1" t="s">
        <v>5968</v>
      </c>
      <c r="N618" s="1" t="s">
        <v>13</v>
      </c>
      <c r="O618" s="1" t="s">
        <v>5969</v>
      </c>
    </row>
    <row r="619" spans="1:15" x14ac:dyDescent="0.4">
      <c r="A619" s="1" t="s">
        <v>5967</v>
      </c>
      <c r="B619" s="1" t="s">
        <v>7133</v>
      </c>
      <c r="C619" s="1" t="s">
        <v>7147</v>
      </c>
      <c r="D619" s="1" t="s">
        <v>2471</v>
      </c>
      <c r="E619" s="1" t="s">
        <v>1503</v>
      </c>
      <c r="F619" s="1" t="s">
        <v>17</v>
      </c>
      <c r="G619" s="4" t="str">
        <f>"08873-3030"</f>
        <v>08873-3030</v>
      </c>
      <c r="H619" s="1">
        <v>0</v>
      </c>
      <c r="I619" s="1">
        <v>0</v>
      </c>
      <c r="J619" s="1">
        <v>0</v>
      </c>
      <c r="K619" s="1">
        <v>85</v>
      </c>
      <c r="L619" s="1" t="s">
        <v>7145</v>
      </c>
      <c r="M619" s="1" t="s">
        <v>227</v>
      </c>
      <c r="N619" s="1" t="s">
        <v>13</v>
      </c>
      <c r="O619" s="1" t="s">
        <v>7146</v>
      </c>
    </row>
    <row r="620" spans="1:15" x14ac:dyDescent="0.4">
      <c r="A620" s="1" t="s">
        <v>5902</v>
      </c>
      <c r="B620" s="1" t="s">
        <v>5896</v>
      </c>
      <c r="C620" s="1" t="s">
        <v>5905</v>
      </c>
      <c r="D620" s="1" t="s">
        <v>5906</v>
      </c>
      <c r="E620" s="1" t="s">
        <v>1503</v>
      </c>
      <c r="F620" s="1" t="s">
        <v>17</v>
      </c>
      <c r="G620" s="4" t="str">
        <f>"07058-9433"</f>
        <v>07058-9433</v>
      </c>
      <c r="H620" s="1">
        <v>0</v>
      </c>
      <c r="I620" s="1">
        <v>0</v>
      </c>
      <c r="J620" s="1">
        <v>0</v>
      </c>
      <c r="K620" s="1">
        <v>36</v>
      </c>
      <c r="L620" s="1" t="s">
        <v>407</v>
      </c>
      <c r="M620" s="1" t="s">
        <v>5903</v>
      </c>
      <c r="N620" s="1" t="s">
        <v>13</v>
      </c>
      <c r="O620" s="1" t="s">
        <v>5904</v>
      </c>
    </row>
    <row r="621" spans="1:15" x14ac:dyDescent="0.4">
      <c r="A621" s="1" t="s">
        <v>7162</v>
      </c>
      <c r="B621" s="1" t="s">
        <v>7154</v>
      </c>
      <c r="C621" s="1" t="s">
        <v>7165</v>
      </c>
      <c r="D621" s="1" t="s">
        <v>7158</v>
      </c>
      <c r="E621" s="1" t="s">
        <v>2471</v>
      </c>
      <c r="F621" s="1" t="s">
        <v>17</v>
      </c>
      <c r="G621" s="4" t="str">
        <f>"08844"</f>
        <v>08844</v>
      </c>
      <c r="H621" s="1">
        <v>0</v>
      </c>
      <c r="I621" s="1">
        <v>0</v>
      </c>
      <c r="J621" s="1">
        <v>0</v>
      </c>
      <c r="K621" s="1">
        <v>0</v>
      </c>
      <c r="L621" s="1" t="s">
        <v>1387</v>
      </c>
      <c r="M621" s="1" t="s">
        <v>7163</v>
      </c>
      <c r="N621" s="1" t="s">
        <v>13</v>
      </c>
      <c r="O621" s="1" t="s">
        <v>7164</v>
      </c>
    </row>
    <row r="622" spans="1:15" x14ac:dyDescent="0.4">
      <c r="A622" s="1" t="s">
        <v>7166</v>
      </c>
      <c r="B622" s="1" t="s">
        <v>7154</v>
      </c>
      <c r="C622" s="1" t="s">
        <v>7169</v>
      </c>
      <c r="D622" s="1" t="s">
        <v>7158</v>
      </c>
      <c r="E622" s="1" t="s">
        <v>2471</v>
      </c>
      <c r="F622" s="1" t="s">
        <v>17</v>
      </c>
      <c r="G622" s="4" t="str">
        <f>"08844"</f>
        <v>08844</v>
      </c>
      <c r="H622" s="1">
        <v>0</v>
      </c>
      <c r="I622" s="1">
        <v>0</v>
      </c>
      <c r="J622" s="1">
        <v>73</v>
      </c>
      <c r="K622" s="1">
        <v>2</v>
      </c>
      <c r="L622" s="1" t="s">
        <v>247</v>
      </c>
      <c r="M622" s="1" t="s">
        <v>7167</v>
      </c>
      <c r="N622" s="1" t="s">
        <v>13</v>
      </c>
      <c r="O622" s="1" t="s">
        <v>7168</v>
      </c>
    </row>
    <row r="623" spans="1:15" x14ac:dyDescent="0.4">
      <c r="A623" s="1" t="s">
        <v>7170</v>
      </c>
      <c r="B623" s="1" t="s">
        <v>7154</v>
      </c>
      <c r="C623" s="1" t="s">
        <v>7173</v>
      </c>
      <c r="D623" s="1" t="s">
        <v>7158</v>
      </c>
      <c r="E623" s="1" t="s">
        <v>2471</v>
      </c>
      <c r="F623" s="1" t="s">
        <v>17</v>
      </c>
      <c r="G623" s="4" t="str">
        <f>"08844"</f>
        <v>08844</v>
      </c>
      <c r="H623" s="1">
        <v>0</v>
      </c>
      <c r="I623" s="1">
        <v>0</v>
      </c>
      <c r="J623" s="1">
        <v>0</v>
      </c>
      <c r="K623" s="1">
        <v>0</v>
      </c>
      <c r="L623" s="1" t="s">
        <v>62</v>
      </c>
      <c r="M623" s="1" t="s">
        <v>7171</v>
      </c>
      <c r="N623" s="1" t="s">
        <v>13</v>
      </c>
      <c r="O623" s="1" t="s">
        <v>7172</v>
      </c>
    </row>
    <row r="624" spans="1:15" x14ac:dyDescent="0.4">
      <c r="A624" s="1" t="s">
        <v>7460</v>
      </c>
      <c r="B624" s="1" t="s">
        <v>7446</v>
      </c>
      <c r="C624" s="1" t="s">
        <v>7463</v>
      </c>
      <c r="D624" s="1" t="s">
        <v>7452</v>
      </c>
      <c r="E624" s="1" t="s">
        <v>7833</v>
      </c>
      <c r="F624" s="1" t="s">
        <v>17</v>
      </c>
      <c r="G624" s="4" t="str">
        <f>"07016"</f>
        <v>07016</v>
      </c>
      <c r="H624" s="1">
        <v>0</v>
      </c>
      <c r="I624" s="1">
        <v>0</v>
      </c>
      <c r="J624" s="1">
        <v>31</v>
      </c>
      <c r="K624" s="1">
        <v>1</v>
      </c>
      <c r="L624" s="1" t="s">
        <v>11</v>
      </c>
      <c r="M624" s="1" t="s">
        <v>7461</v>
      </c>
      <c r="N624" s="1" t="s">
        <v>13</v>
      </c>
      <c r="O624" s="1" t="s">
        <v>7462</v>
      </c>
    </row>
    <row r="625" spans="1:15" x14ac:dyDescent="0.4">
      <c r="A625" s="1" t="s">
        <v>280</v>
      </c>
      <c r="B625" s="1" t="s">
        <v>273</v>
      </c>
      <c r="C625" s="1" t="s">
        <v>284</v>
      </c>
      <c r="D625" s="1" t="s">
        <v>279</v>
      </c>
      <c r="E625" s="1" t="s">
        <v>8018</v>
      </c>
      <c r="F625" s="1" t="s">
        <v>17</v>
      </c>
      <c r="G625" s="4" t="str">
        <f>"07401"</f>
        <v>07401</v>
      </c>
      <c r="H625" s="1">
        <v>0</v>
      </c>
      <c r="I625" s="1">
        <v>0</v>
      </c>
      <c r="J625" s="1">
        <v>0</v>
      </c>
      <c r="K625" s="1">
        <v>72</v>
      </c>
      <c r="L625" s="1" t="s">
        <v>281</v>
      </c>
      <c r="M625" s="1" t="s">
        <v>282</v>
      </c>
      <c r="N625" s="1" t="s">
        <v>13</v>
      </c>
      <c r="O625" s="1" t="s">
        <v>283</v>
      </c>
    </row>
    <row r="626" spans="1:15" x14ac:dyDescent="0.4">
      <c r="A626" s="1" t="s">
        <v>280</v>
      </c>
      <c r="B626" s="1" t="s">
        <v>419</v>
      </c>
      <c r="C626" s="1" t="s">
        <v>423</v>
      </c>
      <c r="D626" s="1" t="s">
        <v>424</v>
      </c>
      <c r="E626" s="1" t="s">
        <v>8018</v>
      </c>
      <c r="F626" s="1" t="s">
        <v>17</v>
      </c>
      <c r="G626" s="4" t="str">
        <f>"07624-2907"</f>
        <v>07624-2907</v>
      </c>
      <c r="H626" s="1">
        <v>0</v>
      </c>
      <c r="I626" s="1">
        <v>0</v>
      </c>
      <c r="J626" s="1">
        <v>0</v>
      </c>
      <c r="K626" s="1">
        <v>72</v>
      </c>
      <c r="L626" s="1" t="s">
        <v>420</v>
      </c>
      <c r="M626" s="1" t="s">
        <v>421</v>
      </c>
      <c r="N626" s="1" t="s">
        <v>13</v>
      </c>
      <c r="O626" s="1" t="s">
        <v>422</v>
      </c>
    </row>
    <row r="627" spans="1:15" x14ac:dyDescent="0.4">
      <c r="A627" s="1" t="s">
        <v>280</v>
      </c>
      <c r="B627" s="1" t="s">
        <v>1615</v>
      </c>
      <c r="C627" s="1" t="s">
        <v>1629</v>
      </c>
      <c r="D627" s="1" t="s">
        <v>1620</v>
      </c>
      <c r="E627" s="1" t="s">
        <v>8018</v>
      </c>
      <c r="F627" s="1" t="s">
        <v>17</v>
      </c>
      <c r="G627" s="4" t="str">
        <f>"08054"</f>
        <v>08054</v>
      </c>
      <c r="H627" s="1">
        <v>0</v>
      </c>
      <c r="I627" s="1">
        <v>0</v>
      </c>
      <c r="J627" s="1">
        <v>0</v>
      </c>
      <c r="K627" s="1">
        <v>72</v>
      </c>
      <c r="L627" s="1" t="s">
        <v>1519</v>
      </c>
      <c r="M627" s="1" t="s">
        <v>1627</v>
      </c>
      <c r="N627" s="1" t="s">
        <v>13</v>
      </c>
      <c r="O627" s="1" t="s">
        <v>1628</v>
      </c>
    </row>
    <row r="628" spans="1:15" x14ac:dyDescent="0.4">
      <c r="A628" s="1" t="s">
        <v>280</v>
      </c>
      <c r="B628" s="1" t="s">
        <v>3144</v>
      </c>
      <c r="C628" s="1" t="s">
        <v>3158</v>
      </c>
      <c r="D628" s="1" t="s">
        <v>3145</v>
      </c>
      <c r="E628" s="1" t="s">
        <v>8018</v>
      </c>
      <c r="F628" s="1" t="s">
        <v>17</v>
      </c>
      <c r="G628" s="4" t="str">
        <f>"07039"</f>
        <v>07039</v>
      </c>
      <c r="H628" s="1">
        <v>0</v>
      </c>
      <c r="I628" s="1">
        <v>0</v>
      </c>
      <c r="J628" s="1">
        <v>0</v>
      </c>
      <c r="K628" s="1">
        <v>72</v>
      </c>
      <c r="L628" s="1" t="s">
        <v>2610</v>
      </c>
      <c r="M628" s="1" t="s">
        <v>3156</v>
      </c>
      <c r="N628" s="1" t="s">
        <v>13</v>
      </c>
      <c r="O628" s="1" t="s">
        <v>3157</v>
      </c>
    </row>
    <row r="629" spans="1:15" x14ac:dyDescent="0.4">
      <c r="A629" s="1" t="s">
        <v>280</v>
      </c>
      <c r="B629" s="1" t="s">
        <v>3202</v>
      </c>
      <c r="C629" s="1" t="s">
        <v>3232</v>
      </c>
      <c r="D629" s="1" t="s">
        <v>3219</v>
      </c>
      <c r="E629" s="1" t="s">
        <v>8018</v>
      </c>
      <c r="F629" s="1" t="s">
        <v>17</v>
      </c>
      <c r="G629" s="4" t="str">
        <f>"07042-2110"</f>
        <v>07042-2110</v>
      </c>
      <c r="H629" s="1">
        <v>0</v>
      </c>
      <c r="I629" s="1">
        <v>0</v>
      </c>
      <c r="J629" s="1">
        <v>0</v>
      </c>
      <c r="K629" s="1">
        <v>72</v>
      </c>
      <c r="L629" s="1" t="s">
        <v>3229</v>
      </c>
      <c r="M629" s="1" t="s">
        <v>3230</v>
      </c>
      <c r="N629" s="1" t="s">
        <v>13</v>
      </c>
      <c r="O629" s="1" t="s">
        <v>3231</v>
      </c>
    </row>
    <row r="630" spans="1:15" x14ac:dyDescent="0.4">
      <c r="A630" s="1" t="s">
        <v>7558</v>
      </c>
      <c r="B630" s="1" t="s">
        <v>7552</v>
      </c>
      <c r="C630" s="1" t="s">
        <v>7561</v>
      </c>
      <c r="D630" s="1" t="s">
        <v>7553</v>
      </c>
      <c r="E630" s="1" t="s">
        <v>7833</v>
      </c>
      <c r="F630" s="1" t="s">
        <v>17</v>
      </c>
      <c r="G630" s="4" t="str">
        <f>"07205-2526"</f>
        <v>07205-2526</v>
      </c>
      <c r="H630" s="1">
        <v>0</v>
      </c>
      <c r="I630" s="1">
        <v>0</v>
      </c>
      <c r="J630" s="1">
        <v>0</v>
      </c>
      <c r="K630" s="1">
        <v>0</v>
      </c>
      <c r="L630" s="1" t="s">
        <v>3944</v>
      </c>
      <c r="M630" s="1" t="s">
        <v>7559</v>
      </c>
      <c r="N630" s="1" t="s">
        <v>13</v>
      </c>
      <c r="O630" s="1" t="s">
        <v>7560</v>
      </c>
    </row>
    <row r="631" spans="1:15" x14ac:dyDescent="0.4">
      <c r="A631" s="1" t="s">
        <v>7562</v>
      </c>
      <c r="B631" s="1" t="s">
        <v>7552</v>
      </c>
      <c r="C631" s="1" t="s">
        <v>7564</v>
      </c>
      <c r="D631" s="1" t="s">
        <v>7565</v>
      </c>
      <c r="E631" s="1" t="s">
        <v>7833</v>
      </c>
      <c r="F631" s="1" t="s">
        <v>17</v>
      </c>
      <c r="G631" s="4" t="str">
        <f>"07205"</f>
        <v>07205</v>
      </c>
      <c r="H631" s="1">
        <v>0</v>
      </c>
      <c r="I631" s="1">
        <v>0</v>
      </c>
      <c r="J631" s="1">
        <v>0</v>
      </c>
      <c r="K631" s="1">
        <v>0</v>
      </c>
      <c r="L631" s="1" t="s">
        <v>43</v>
      </c>
      <c r="M631" s="1" t="s">
        <v>2805</v>
      </c>
      <c r="N631" s="1" t="s">
        <v>13</v>
      </c>
      <c r="O631" s="1" t="s">
        <v>7563</v>
      </c>
    </row>
    <row r="632" spans="1:15" x14ac:dyDescent="0.4">
      <c r="A632" s="1" t="s">
        <v>7120</v>
      </c>
      <c r="B632" s="1" t="s">
        <v>7093</v>
      </c>
      <c r="C632" s="1" t="s">
        <v>7123</v>
      </c>
      <c r="D632" s="1" t="s">
        <v>7094</v>
      </c>
      <c r="E632" s="1" t="s">
        <v>2471</v>
      </c>
      <c r="F632" s="1" t="s">
        <v>17</v>
      </c>
      <c r="G632" s="4" t="str">
        <f>"08807-1239"</f>
        <v>08807-1239</v>
      </c>
      <c r="H632" s="1">
        <v>0</v>
      </c>
      <c r="I632" s="1">
        <v>0</v>
      </c>
      <c r="J632" s="1">
        <v>0</v>
      </c>
      <c r="K632" s="1">
        <v>0</v>
      </c>
      <c r="L632" s="1" t="s">
        <v>7121</v>
      </c>
      <c r="M632" s="1" t="s">
        <v>4633</v>
      </c>
      <c r="N632" s="1" t="s">
        <v>13</v>
      </c>
      <c r="O632" s="1" t="s">
        <v>7122</v>
      </c>
    </row>
    <row r="633" spans="1:15" x14ac:dyDescent="0.4">
      <c r="A633" s="1" t="s">
        <v>6077</v>
      </c>
      <c r="B633" s="1" t="s">
        <v>6076</v>
      </c>
      <c r="C633" s="1" t="s">
        <v>6080</v>
      </c>
      <c r="D633" s="1" t="s">
        <v>6081</v>
      </c>
      <c r="E633" s="1" t="s">
        <v>1503</v>
      </c>
      <c r="F633" s="1" t="s">
        <v>17</v>
      </c>
      <c r="G633" s="4" t="str">
        <f>"07444-1903"</f>
        <v>07444-1903</v>
      </c>
      <c r="H633" s="1">
        <v>0</v>
      </c>
      <c r="I633" s="1">
        <v>0</v>
      </c>
      <c r="J633" s="1">
        <v>0</v>
      </c>
      <c r="K633" s="1">
        <v>41</v>
      </c>
      <c r="L633" s="1" t="s">
        <v>141</v>
      </c>
      <c r="M633" s="1" t="s">
        <v>6078</v>
      </c>
      <c r="N633" s="1" t="s">
        <v>13</v>
      </c>
      <c r="O633" s="1" t="s">
        <v>6079</v>
      </c>
    </row>
    <row r="634" spans="1:15" x14ac:dyDescent="0.4">
      <c r="A634" s="1" t="s">
        <v>2573</v>
      </c>
      <c r="B634" s="1" t="s">
        <v>2572</v>
      </c>
      <c r="C634" s="1" t="s">
        <v>2577</v>
      </c>
      <c r="D634" s="1" t="s">
        <v>2578</v>
      </c>
      <c r="E634" s="1" t="s">
        <v>8022</v>
      </c>
      <c r="F634" s="1" t="s">
        <v>17</v>
      </c>
      <c r="G634" s="4" t="str">
        <f>"07030"</f>
        <v>07030</v>
      </c>
      <c r="H634" s="1">
        <v>0</v>
      </c>
      <c r="I634" s="1">
        <v>0</v>
      </c>
      <c r="J634" s="1">
        <v>0</v>
      </c>
      <c r="K634" s="1">
        <v>22</v>
      </c>
      <c r="L634" s="1" t="s">
        <v>2574</v>
      </c>
      <c r="M634" s="1" t="s">
        <v>2575</v>
      </c>
      <c r="N634" s="1" t="s">
        <v>91</v>
      </c>
      <c r="O634" s="1" t="s">
        <v>2576</v>
      </c>
    </row>
    <row r="635" spans="1:15" x14ac:dyDescent="0.4">
      <c r="A635" s="1" t="s">
        <v>2579</v>
      </c>
      <c r="B635" s="1" t="s">
        <v>2579</v>
      </c>
      <c r="C635" s="1" t="s">
        <v>2582</v>
      </c>
      <c r="D635" s="1" t="s">
        <v>2542</v>
      </c>
      <c r="E635" s="1" t="s">
        <v>8022</v>
      </c>
      <c r="F635" s="1" t="s">
        <v>17</v>
      </c>
      <c r="G635" s="4" t="str">
        <f>"07030"</f>
        <v>07030</v>
      </c>
      <c r="H635" s="1">
        <v>0</v>
      </c>
      <c r="I635" s="1">
        <v>0</v>
      </c>
      <c r="J635" s="1">
        <v>0</v>
      </c>
      <c r="K635" s="1">
        <v>49</v>
      </c>
      <c r="L635" s="1" t="s">
        <v>38</v>
      </c>
      <c r="M635" s="1" t="s">
        <v>2580</v>
      </c>
      <c r="N635" s="1" t="s">
        <v>1924</v>
      </c>
      <c r="O635" s="1" t="s">
        <v>2581</v>
      </c>
    </row>
    <row r="636" spans="1:15" x14ac:dyDescent="0.4">
      <c r="A636" s="1" t="s">
        <v>3847</v>
      </c>
      <c r="B636" s="1" t="s">
        <v>3846</v>
      </c>
      <c r="C636" s="1" t="s">
        <v>3850</v>
      </c>
      <c r="D636" s="1" t="s">
        <v>2542</v>
      </c>
      <c r="E636" s="1" t="s">
        <v>3646</v>
      </c>
      <c r="F636" s="1" t="s">
        <v>17</v>
      </c>
      <c r="G636" s="4" t="str">
        <f>"07030"</f>
        <v>07030</v>
      </c>
      <c r="H636" s="1">
        <v>0</v>
      </c>
      <c r="I636" s="1">
        <v>0</v>
      </c>
      <c r="J636" s="1">
        <v>0</v>
      </c>
      <c r="K636" s="1">
        <v>0</v>
      </c>
      <c r="L636" s="1" t="s">
        <v>1684</v>
      </c>
      <c r="M636" s="1" t="s">
        <v>3848</v>
      </c>
      <c r="N636" s="1" t="s">
        <v>13</v>
      </c>
      <c r="O636" s="1" t="s">
        <v>3849</v>
      </c>
    </row>
    <row r="637" spans="1:15" x14ac:dyDescent="0.4">
      <c r="A637" s="1" t="s">
        <v>3851</v>
      </c>
      <c r="B637" s="1" t="s">
        <v>3846</v>
      </c>
      <c r="C637" s="1" t="s">
        <v>3854</v>
      </c>
      <c r="D637" s="1" t="s">
        <v>2542</v>
      </c>
      <c r="E637" s="1" t="s">
        <v>3646</v>
      </c>
      <c r="F637" s="1" t="s">
        <v>17</v>
      </c>
      <c r="G637" s="4" t="str">
        <f>"07030"</f>
        <v>07030</v>
      </c>
      <c r="H637" s="1">
        <v>0</v>
      </c>
      <c r="I637" s="1">
        <v>0</v>
      </c>
      <c r="J637" s="1">
        <v>0</v>
      </c>
      <c r="K637" s="1">
        <v>0</v>
      </c>
      <c r="L637" s="1" t="s">
        <v>42</v>
      </c>
      <c r="M637" s="1" t="s">
        <v>3852</v>
      </c>
      <c r="N637" s="1" t="s">
        <v>13</v>
      </c>
      <c r="O637" s="1" t="s">
        <v>3853</v>
      </c>
    </row>
    <row r="638" spans="1:15" x14ac:dyDescent="0.4">
      <c r="A638" s="1" t="s">
        <v>739</v>
      </c>
      <c r="B638" s="1" t="s">
        <v>738</v>
      </c>
      <c r="C638" s="1" t="s">
        <v>743</v>
      </c>
      <c r="D638" s="1" t="s">
        <v>744</v>
      </c>
      <c r="E638" s="1" t="s">
        <v>8018</v>
      </c>
      <c r="F638" s="1" t="s">
        <v>17</v>
      </c>
      <c r="G638" s="4" t="str">
        <f>"07423"</f>
        <v>07423</v>
      </c>
      <c r="H638" s="1">
        <v>0</v>
      </c>
      <c r="I638" s="1">
        <v>0</v>
      </c>
      <c r="J638" s="1">
        <v>0</v>
      </c>
      <c r="K638" s="1">
        <v>60</v>
      </c>
      <c r="L638" s="1" t="s">
        <v>740</v>
      </c>
      <c r="M638" s="1" t="s">
        <v>741</v>
      </c>
      <c r="N638" s="1" t="s">
        <v>13</v>
      </c>
      <c r="O638" s="1" t="s">
        <v>742</v>
      </c>
    </row>
    <row r="639" spans="1:15" x14ac:dyDescent="0.4">
      <c r="A639" s="1" t="s">
        <v>1119</v>
      </c>
      <c r="B639" s="1" t="s">
        <v>1118</v>
      </c>
      <c r="C639" s="1" t="s">
        <v>1122</v>
      </c>
      <c r="D639" s="1" t="s">
        <v>1123</v>
      </c>
      <c r="E639" s="1" t="s">
        <v>8018</v>
      </c>
      <c r="F639" s="1" t="s">
        <v>17</v>
      </c>
      <c r="G639" s="4" t="str">
        <f>"07675"</f>
        <v>07675</v>
      </c>
      <c r="H639" s="1">
        <v>0</v>
      </c>
      <c r="I639" s="1">
        <v>0</v>
      </c>
      <c r="J639" s="1">
        <v>0</v>
      </c>
      <c r="K639" s="1">
        <v>0</v>
      </c>
      <c r="L639" s="1" t="s">
        <v>34</v>
      </c>
      <c r="M639" s="1" t="s">
        <v>1120</v>
      </c>
      <c r="N639" s="1" t="s">
        <v>13</v>
      </c>
      <c r="O639" s="1" t="s">
        <v>1121</v>
      </c>
    </row>
    <row r="640" spans="1:15" x14ac:dyDescent="0.4">
      <c r="A640" s="1" t="s">
        <v>4153</v>
      </c>
      <c r="B640" s="1" t="s">
        <v>4152</v>
      </c>
      <c r="C640" s="1" t="s">
        <v>4156</v>
      </c>
      <c r="D640" s="1" t="s">
        <v>4157</v>
      </c>
      <c r="E640" s="1" t="s">
        <v>8025</v>
      </c>
      <c r="F640" s="1" t="s">
        <v>17</v>
      </c>
      <c r="G640" s="4" t="str">
        <f>"08889"</f>
        <v>08889</v>
      </c>
      <c r="H640" s="1">
        <v>0</v>
      </c>
      <c r="I640" s="1">
        <v>0</v>
      </c>
      <c r="J640" s="1">
        <v>0</v>
      </c>
      <c r="K640" s="1">
        <v>0</v>
      </c>
      <c r="L640" s="1" t="s">
        <v>1794</v>
      </c>
      <c r="M640" s="1" t="s">
        <v>4154</v>
      </c>
      <c r="N640" s="1" t="s">
        <v>13</v>
      </c>
      <c r="O640" s="1" t="s">
        <v>4155</v>
      </c>
    </row>
    <row r="641" spans="1:15" x14ac:dyDescent="0.4">
      <c r="A641" s="1" t="s">
        <v>2838</v>
      </c>
      <c r="B641" s="1" t="s">
        <v>2834</v>
      </c>
      <c r="C641" s="1" t="s">
        <v>2841</v>
      </c>
      <c r="D641" s="1" t="s">
        <v>2836</v>
      </c>
      <c r="E641" s="1" t="s">
        <v>8023</v>
      </c>
      <c r="F641" s="1" t="s">
        <v>17</v>
      </c>
      <c r="G641" s="4" t="str">
        <f>"08332-9639"</f>
        <v>08332-9639</v>
      </c>
      <c r="H641" s="1">
        <v>0</v>
      </c>
      <c r="I641" s="1">
        <v>0</v>
      </c>
      <c r="J641" s="1">
        <v>0</v>
      </c>
      <c r="K641" s="1">
        <v>79</v>
      </c>
      <c r="L641" s="1" t="s">
        <v>30</v>
      </c>
      <c r="M641" s="1" t="s">
        <v>2839</v>
      </c>
      <c r="N641" s="1" t="s">
        <v>13</v>
      </c>
      <c r="O641" s="1" t="s">
        <v>2840</v>
      </c>
    </row>
    <row r="642" spans="1:15" x14ac:dyDescent="0.4">
      <c r="A642" s="1" t="s">
        <v>5284</v>
      </c>
      <c r="B642" s="1" t="s">
        <v>5283</v>
      </c>
      <c r="C642" s="1" t="s">
        <v>5287</v>
      </c>
      <c r="D642" s="1" t="s">
        <v>5288</v>
      </c>
      <c r="E642" s="1" t="s">
        <v>8027</v>
      </c>
      <c r="F642" s="1" t="s">
        <v>17</v>
      </c>
      <c r="G642" s="4" t="str">
        <f>"07733-1999"</f>
        <v>07733-1999</v>
      </c>
      <c r="H642" s="1">
        <v>0</v>
      </c>
      <c r="I642" s="1">
        <v>0</v>
      </c>
      <c r="J642" s="1">
        <v>0</v>
      </c>
      <c r="K642" s="1">
        <v>0</v>
      </c>
      <c r="L642" s="1" t="s">
        <v>158</v>
      </c>
      <c r="M642" s="1" t="s">
        <v>5285</v>
      </c>
      <c r="N642" s="1" t="s">
        <v>13</v>
      </c>
      <c r="O642" s="1" t="s">
        <v>5286</v>
      </c>
    </row>
    <row r="643" spans="1:15" x14ac:dyDescent="0.4">
      <c r="A643" s="1" t="s">
        <v>472</v>
      </c>
      <c r="B643" s="1" t="s">
        <v>460</v>
      </c>
      <c r="C643" s="1" t="s">
        <v>475</v>
      </c>
      <c r="D643" s="1" t="s">
        <v>465</v>
      </c>
      <c r="E643" s="1" t="s">
        <v>8018</v>
      </c>
      <c r="F643" s="1" t="s">
        <v>17</v>
      </c>
      <c r="G643" s="4" t="str">
        <f>"07628-3601"</f>
        <v>07628-3601</v>
      </c>
      <c r="H643" s="1">
        <v>0</v>
      </c>
      <c r="I643" s="1">
        <v>0</v>
      </c>
      <c r="J643" s="1">
        <v>0</v>
      </c>
      <c r="K643" s="1">
        <v>40</v>
      </c>
      <c r="L643" s="1" t="s">
        <v>71</v>
      </c>
      <c r="M643" s="1" t="s">
        <v>473</v>
      </c>
      <c r="N643" s="1" t="s">
        <v>13</v>
      </c>
      <c r="O643" s="1" t="s">
        <v>474</v>
      </c>
    </row>
    <row r="644" spans="1:15" x14ac:dyDescent="0.4">
      <c r="A644" s="1" t="s">
        <v>6480</v>
      </c>
      <c r="B644" s="1" t="s">
        <v>6474</v>
      </c>
      <c r="C644" s="1" t="s">
        <v>6482</v>
      </c>
      <c r="D644" s="1" t="s">
        <v>6399</v>
      </c>
      <c r="E644" s="1" t="s">
        <v>8028</v>
      </c>
      <c r="F644" s="1" t="s">
        <v>17</v>
      </c>
      <c r="G644" s="4" t="str">
        <f>"08753"</f>
        <v>08753</v>
      </c>
      <c r="H644" s="1">
        <v>0</v>
      </c>
      <c r="I644" s="1">
        <v>0</v>
      </c>
      <c r="J644" s="1">
        <v>0</v>
      </c>
      <c r="K644" s="1">
        <v>101</v>
      </c>
      <c r="L644" s="1" t="s">
        <v>30</v>
      </c>
      <c r="M644" s="1" t="s">
        <v>1296</v>
      </c>
      <c r="N644" s="1" t="s">
        <v>13</v>
      </c>
      <c r="O644" s="1" t="s">
        <v>6481</v>
      </c>
    </row>
    <row r="645" spans="1:15" x14ac:dyDescent="0.4">
      <c r="A645" s="1" t="s">
        <v>7317</v>
      </c>
      <c r="B645" s="1" t="s">
        <v>7315</v>
      </c>
      <c r="C645" s="1" t="s">
        <v>7319</v>
      </c>
      <c r="D645" s="1" t="s">
        <v>7316</v>
      </c>
      <c r="E645" s="1" t="s">
        <v>8030</v>
      </c>
      <c r="F645" s="1" t="s">
        <v>17</v>
      </c>
      <c r="G645" s="4" t="str">
        <f>"07843"</f>
        <v>07843</v>
      </c>
      <c r="H645" s="1">
        <v>0</v>
      </c>
      <c r="I645" s="1">
        <v>0</v>
      </c>
      <c r="J645" s="1">
        <v>0</v>
      </c>
      <c r="K645" s="1">
        <v>0</v>
      </c>
      <c r="L645" s="1" t="s">
        <v>363</v>
      </c>
      <c r="M645" s="1" t="s">
        <v>2441</v>
      </c>
      <c r="N645" s="1" t="s">
        <v>241</v>
      </c>
      <c r="O645" s="1" t="s">
        <v>7318</v>
      </c>
    </row>
    <row r="646" spans="1:15" x14ac:dyDescent="0.4">
      <c r="A646" s="1" t="s">
        <v>7320</v>
      </c>
      <c r="B646" s="1" t="s">
        <v>7315</v>
      </c>
      <c r="C646" s="1" t="s">
        <v>7323</v>
      </c>
      <c r="D646" s="1" t="s">
        <v>7316</v>
      </c>
      <c r="E646" s="1" t="s">
        <v>8030</v>
      </c>
      <c r="F646" s="1" t="s">
        <v>17</v>
      </c>
      <c r="G646" s="4" t="str">
        <f>"07843"</f>
        <v>07843</v>
      </c>
      <c r="H646" s="1">
        <v>0</v>
      </c>
      <c r="I646" s="1">
        <v>0</v>
      </c>
      <c r="J646" s="1">
        <v>0</v>
      </c>
      <c r="K646" s="1">
        <v>0</v>
      </c>
      <c r="L646" s="1" t="s">
        <v>32</v>
      </c>
      <c r="M646" s="1" t="s">
        <v>7321</v>
      </c>
      <c r="N646" s="1" t="s">
        <v>13</v>
      </c>
      <c r="O646" s="1" t="s">
        <v>7322</v>
      </c>
    </row>
    <row r="647" spans="1:15" x14ac:dyDescent="0.4">
      <c r="A647" s="1" t="s">
        <v>6618</v>
      </c>
      <c r="B647" s="1" t="s">
        <v>6617</v>
      </c>
      <c r="C647" s="1" t="s">
        <v>6621</v>
      </c>
      <c r="D647" s="1" t="s">
        <v>2456</v>
      </c>
      <c r="E647" s="1" t="s">
        <v>2670</v>
      </c>
      <c r="F647" s="1" t="s">
        <v>17</v>
      </c>
      <c r="G647" s="4" t="str">
        <f>"07055"</f>
        <v>07055</v>
      </c>
      <c r="H647" s="1">
        <v>0</v>
      </c>
      <c r="I647" s="1">
        <v>0</v>
      </c>
      <c r="J647" s="1">
        <v>0</v>
      </c>
      <c r="K647" s="1">
        <v>0</v>
      </c>
      <c r="L647" s="1" t="s">
        <v>197</v>
      </c>
      <c r="M647" s="1" t="s">
        <v>6619</v>
      </c>
      <c r="N647" s="1" t="s">
        <v>13</v>
      </c>
      <c r="O647" s="1" t="s">
        <v>6620</v>
      </c>
    </row>
    <row r="648" spans="1:15" x14ac:dyDescent="0.4">
      <c r="A648" s="1" t="s">
        <v>2583</v>
      </c>
      <c r="B648" s="1" t="s">
        <v>2583</v>
      </c>
      <c r="C648" s="1" t="s">
        <v>2587</v>
      </c>
      <c r="D648" s="1" t="s">
        <v>2588</v>
      </c>
      <c r="E648" s="1" t="s">
        <v>8022</v>
      </c>
      <c r="F648" s="1" t="s">
        <v>17</v>
      </c>
      <c r="G648" s="4" t="str">
        <f>"07712-6656"</f>
        <v>07712-6656</v>
      </c>
      <c r="H648" s="1">
        <v>0</v>
      </c>
      <c r="I648" s="1">
        <v>0</v>
      </c>
      <c r="J648" s="1">
        <v>0</v>
      </c>
      <c r="K648" s="1">
        <v>32</v>
      </c>
      <c r="L648" s="1" t="s">
        <v>2584</v>
      </c>
      <c r="M648" s="1" t="s">
        <v>2585</v>
      </c>
      <c r="N648" s="1" t="s">
        <v>129</v>
      </c>
      <c r="O648" s="1" t="s">
        <v>2586</v>
      </c>
    </row>
    <row r="649" spans="1:15" x14ac:dyDescent="0.4">
      <c r="A649" s="1" t="s">
        <v>2589</v>
      </c>
      <c r="B649" s="1" t="s">
        <v>2589</v>
      </c>
      <c r="C649" s="1" t="s">
        <v>2591</v>
      </c>
      <c r="D649" s="1" t="s">
        <v>1909</v>
      </c>
      <c r="E649" s="1" t="s">
        <v>8022</v>
      </c>
      <c r="F649" s="1" t="s">
        <v>17</v>
      </c>
      <c r="G649" s="4" t="str">
        <f>"08103"</f>
        <v>08103</v>
      </c>
      <c r="H649" s="1">
        <v>0</v>
      </c>
      <c r="I649" s="1">
        <v>0</v>
      </c>
      <c r="J649" s="1">
        <v>0</v>
      </c>
      <c r="K649" s="1">
        <v>10</v>
      </c>
      <c r="L649" s="1" t="s">
        <v>38</v>
      </c>
      <c r="M649" s="1" t="s">
        <v>421</v>
      </c>
      <c r="N649" s="1" t="s">
        <v>13</v>
      </c>
      <c r="O649" s="1" t="s">
        <v>2590</v>
      </c>
    </row>
    <row r="650" spans="1:15" x14ac:dyDescent="0.4">
      <c r="A650" s="1" t="s">
        <v>7954</v>
      </c>
      <c r="B650" s="1" t="s">
        <v>7953</v>
      </c>
      <c r="C650" s="1" t="s">
        <v>7956</v>
      </c>
      <c r="D650" s="1" t="s">
        <v>7957</v>
      </c>
      <c r="E650" s="1" t="s">
        <v>55</v>
      </c>
      <c r="F650" s="1" t="s">
        <v>17</v>
      </c>
      <c r="G650" s="4" t="str">
        <f>"07844-0293"</f>
        <v>07844-0293</v>
      </c>
      <c r="H650" s="1">
        <v>0</v>
      </c>
      <c r="I650" s="1">
        <v>0</v>
      </c>
      <c r="J650" s="1">
        <v>0</v>
      </c>
      <c r="K650" s="1">
        <v>9</v>
      </c>
      <c r="L650" s="1" t="s">
        <v>11</v>
      </c>
      <c r="M650" s="1" t="s">
        <v>2009</v>
      </c>
      <c r="N650" s="1" t="s">
        <v>13</v>
      </c>
      <c r="O650" s="1" t="s">
        <v>7955</v>
      </c>
    </row>
    <row r="651" spans="1:15" x14ac:dyDescent="0.4">
      <c r="A651" s="1" t="s">
        <v>4322</v>
      </c>
      <c r="B651" s="1" t="s">
        <v>4321</v>
      </c>
      <c r="C651" s="1" t="s">
        <v>4325</v>
      </c>
      <c r="D651" s="1" t="s">
        <v>4183</v>
      </c>
      <c r="E651" s="1" t="s">
        <v>8026</v>
      </c>
      <c r="F651" s="1" t="s">
        <v>17</v>
      </c>
      <c r="G651" s="4" t="str">
        <f>"08534-9701"</f>
        <v>08534-9701</v>
      </c>
      <c r="H651" s="1">
        <v>0</v>
      </c>
      <c r="I651" s="1">
        <v>0</v>
      </c>
      <c r="J651" s="1">
        <v>0</v>
      </c>
      <c r="K651" s="1">
        <v>0</v>
      </c>
      <c r="L651" s="1" t="s">
        <v>140</v>
      </c>
      <c r="M651" s="1" t="s">
        <v>4323</v>
      </c>
      <c r="N651" s="1" t="s">
        <v>13</v>
      </c>
      <c r="O651" s="1" t="s">
        <v>4324</v>
      </c>
    </row>
    <row r="652" spans="1:15" x14ac:dyDescent="0.4">
      <c r="A652" s="1" t="s">
        <v>1957</v>
      </c>
      <c r="B652" s="1" t="s">
        <v>1927</v>
      </c>
      <c r="C652" s="1" t="s">
        <v>1960</v>
      </c>
      <c r="D652" s="1" t="s">
        <v>1933</v>
      </c>
      <c r="E652" s="1" t="s">
        <v>1909</v>
      </c>
      <c r="F652" s="1" t="s">
        <v>17</v>
      </c>
      <c r="G652" s="4" t="str">
        <f>"08003-3747"</f>
        <v>08003-3747</v>
      </c>
      <c r="H652" s="1">
        <v>0</v>
      </c>
      <c r="I652" s="1">
        <v>0</v>
      </c>
      <c r="J652" s="1">
        <v>0</v>
      </c>
      <c r="K652" s="1">
        <v>51</v>
      </c>
      <c r="L652" s="1" t="s">
        <v>1794</v>
      </c>
      <c r="M652" s="1" t="s">
        <v>1958</v>
      </c>
      <c r="N652" s="1" t="s">
        <v>13</v>
      </c>
      <c r="O652" s="1" t="s">
        <v>1959</v>
      </c>
    </row>
    <row r="653" spans="1:15" x14ac:dyDescent="0.4">
      <c r="A653" s="1" t="s">
        <v>1957</v>
      </c>
      <c r="B653" s="1" t="s">
        <v>3961</v>
      </c>
      <c r="C653" s="1" t="s">
        <v>3965</v>
      </c>
      <c r="D653" s="1" t="s">
        <v>3966</v>
      </c>
      <c r="E653" s="1" t="s">
        <v>1909</v>
      </c>
      <c r="F653" s="1" t="s">
        <v>17</v>
      </c>
      <c r="G653" s="4" t="str">
        <f>"07047-4215"</f>
        <v>07047-4215</v>
      </c>
      <c r="H653" s="1">
        <v>0</v>
      </c>
      <c r="I653" s="1">
        <v>0</v>
      </c>
      <c r="J653" s="1">
        <v>0</v>
      </c>
      <c r="K653" s="1">
        <v>51</v>
      </c>
      <c r="L653" s="1" t="s">
        <v>608</v>
      </c>
      <c r="M653" s="1" t="s">
        <v>3963</v>
      </c>
      <c r="N653" s="1" t="s">
        <v>13</v>
      </c>
      <c r="O653" s="1" t="s">
        <v>3964</v>
      </c>
    </row>
    <row r="654" spans="1:15" x14ac:dyDescent="0.4">
      <c r="A654" s="1" t="s">
        <v>7729</v>
      </c>
      <c r="B654" s="1" t="s">
        <v>7724</v>
      </c>
      <c r="C654" s="1" t="s">
        <v>7732</v>
      </c>
      <c r="D654" s="1" t="s">
        <v>7728</v>
      </c>
      <c r="E654" s="1" t="s">
        <v>7833</v>
      </c>
      <c r="F654" s="1" t="s">
        <v>17</v>
      </c>
      <c r="G654" s="4" t="str">
        <f>"07076"</f>
        <v>07076</v>
      </c>
      <c r="H654" s="1">
        <v>0</v>
      </c>
      <c r="I654" s="1">
        <v>0</v>
      </c>
      <c r="J654" s="1">
        <v>0</v>
      </c>
      <c r="K654" s="1">
        <v>71</v>
      </c>
      <c r="L654" s="1" t="s">
        <v>153</v>
      </c>
      <c r="M654" s="1" t="s">
        <v>7730</v>
      </c>
      <c r="N654" s="1" t="s">
        <v>13</v>
      </c>
      <c r="O654" s="1" t="s">
        <v>7731</v>
      </c>
    </row>
    <row r="655" spans="1:15" x14ac:dyDescent="0.4">
      <c r="A655" s="1" t="s">
        <v>1679</v>
      </c>
      <c r="B655" s="1" t="s">
        <v>1666</v>
      </c>
      <c r="C655" s="1" t="s">
        <v>1681</v>
      </c>
      <c r="D655" s="1" t="s">
        <v>1677</v>
      </c>
      <c r="E655" s="1" t="s">
        <v>8019</v>
      </c>
      <c r="F655" s="1" t="s">
        <v>17</v>
      </c>
      <c r="G655" s="4" t="str">
        <f>"08068"</f>
        <v>08068</v>
      </c>
      <c r="H655" s="1">
        <v>0</v>
      </c>
      <c r="I655" s="1">
        <v>0</v>
      </c>
      <c r="J655" s="1">
        <v>0</v>
      </c>
      <c r="K655" s="1">
        <v>86</v>
      </c>
      <c r="L655" s="1" t="s">
        <v>434</v>
      </c>
      <c r="M655" s="1" t="s">
        <v>190</v>
      </c>
      <c r="N655" s="1" t="s">
        <v>13</v>
      </c>
      <c r="O655" s="1" t="s">
        <v>1680</v>
      </c>
    </row>
    <row r="656" spans="1:15" x14ac:dyDescent="0.4">
      <c r="A656" s="1" t="s">
        <v>2204</v>
      </c>
      <c r="B656" s="1" t="s">
        <v>2184</v>
      </c>
      <c r="C656" s="1" t="s">
        <v>2206</v>
      </c>
      <c r="D656" s="1" t="s">
        <v>2190</v>
      </c>
      <c r="E656" s="1" t="s">
        <v>1909</v>
      </c>
      <c r="F656" s="1" t="s">
        <v>17</v>
      </c>
      <c r="G656" s="4" t="str">
        <f>"08109-3544"</f>
        <v>08109-3544</v>
      </c>
      <c r="H656" s="1">
        <v>0</v>
      </c>
      <c r="I656" s="1">
        <v>0</v>
      </c>
      <c r="J656" s="1">
        <v>0</v>
      </c>
      <c r="K656" s="1">
        <v>0</v>
      </c>
      <c r="L656" s="1" t="s">
        <v>1794</v>
      </c>
      <c r="M656" s="1" t="s">
        <v>2126</v>
      </c>
      <c r="N656" s="1" t="s">
        <v>13</v>
      </c>
      <c r="O656" s="1" t="s">
        <v>2205</v>
      </c>
    </row>
    <row r="657" spans="1:15" x14ac:dyDescent="0.4">
      <c r="A657" s="1" t="s">
        <v>5212</v>
      </c>
      <c r="B657" s="1" t="s">
        <v>5199</v>
      </c>
      <c r="C657" s="1" t="s">
        <v>5214</v>
      </c>
      <c r="D657" s="1" t="s">
        <v>5192</v>
      </c>
      <c r="E657" s="1" t="s">
        <v>8027</v>
      </c>
      <c r="F657" s="1" t="s">
        <v>17</v>
      </c>
      <c r="G657" s="4" t="str">
        <f>"07727-3756"</f>
        <v>07727-3756</v>
      </c>
      <c r="H657" s="1">
        <v>0</v>
      </c>
      <c r="I657" s="1">
        <v>0</v>
      </c>
      <c r="J657" s="1">
        <v>0</v>
      </c>
      <c r="K657" s="1">
        <v>0</v>
      </c>
      <c r="L657" s="1" t="s">
        <v>336</v>
      </c>
      <c r="M657" s="1" t="s">
        <v>2790</v>
      </c>
      <c r="N657" s="1" t="s">
        <v>13</v>
      </c>
      <c r="O657" s="1" t="s">
        <v>5213</v>
      </c>
    </row>
    <row r="658" spans="1:15" x14ac:dyDescent="0.4">
      <c r="A658" s="1" t="s">
        <v>5316</v>
      </c>
      <c r="B658" s="1" t="s">
        <v>5297</v>
      </c>
      <c r="C658" s="1" t="s">
        <v>5318</v>
      </c>
      <c r="D658" s="1" t="s">
        <v>5192</v>
      </c>
      <c r="E658" s="1" t="s">
        <v>8027</v>
      </c>
      <c r="F658" s="1" t="s">
        <v>17</v>
      </c>
      <c r="G658" s="4" t="str">
        <f>"07727"</f>
        <v>07727</v>
      </c>
      <c r="H658" s="1">
        <v>0</v>
      </c>
      <c r="I658" s="1">
        <v>0</v>
      </c>
      <c r="J658" s="1">
        <v>0</v>
      </c>
      <c r="K658" s="1">
        <v>0</v>
      </c>
      <c r="L658" s="1" t="s">
        <v>563</v>
      </c>
      <c r="M658" s="1" t="s">
        <v>2478</v>
      </c>
      <c r="N658" s="1" t="s">
        <v>13</v>
      </c>
      <c r="O658" s="1" t="s">
        <v>5317</v>
      </c>
    </row>
    <row r="659" spans="1:15" x14ac:dyDescent="0.4">
      <c r="A659" s="1" t="s">
        <v>5320</v>
      </c>
      <c r="B659" s="1" t="s">
        <v>5297</v>
      </c>
      <c r="C659" s="1" t="s">
        <v>5323</v>
      </c>
      <c r="D659" s="1" t="s">
        <v>5301</v>
      </c>
      <c r="E659" s="1" t="s">
        <v>8027</v>
      </c>
      <c r="F659" s="1" t="s">
        <v>17</v>
      </c>
      <c r="G659" s="4" t="str">
        <f>"07731"</f>
        <v>07731</v>
      </c>
      <c r="H659" s="1">
        <v>0</v>
      </c>
      <c r="I659" s="1">
        <v>0</v>
      </c>
      <c r="J659" s="1">
        <v>0</v>
      </c>
      <c r="K659" s="1">
        <v>0</v>
      </c>
      <c r="L659" s="1" t="s">
        <v>306</v>
      </c>
      <c r="M659" s="1" t="s">
        <v>5321</v>
      </c>
      <c r="N659" s="1" t="s">
        <v>13</v>
      </c>
      <c r="O659" s="1" t="s">
        <v>5322</v>
      </c>
    </row>
    <row r="660" spans="1:15" x14ac:dyDescent="0.4">
      <c r="A660" s="1" t="s">
        <v>7663</v>
      </c>
      <c r="B660" s="1" t="s">
        <v>7630</v>
      </c>
      <c r="C660" s="1" t="s">
        <v>7665</v>
      </c>
      <c r="D660" s="1" t="s">
        <v>2763</v>
      </c>
      <c r="E660" s="1" t="s">
        <v>7833</v>
      </c>
      <c r="F660" s="1" t="s">
        <v>17</v>
      </c>
      <c r="G660" s="4" t="str">
        <f>"07060-2233"</f>
        <v>07060-2233</v>
      </c>
      <c r="H660" s="1">
        <v>0</v>
      </c>
      <c r="I660" s="1">
        <v>0</v>
      </c>
      <c r="J660" s="1">
        <v>0</v>
      </c>
      <c r="K660" s="1">
        <v>0</v>
      </c>
      <c r="L660" s="1" t="s">
        <v>1150</v>
      </c>
      <c r="M660" s="1" t="s">
        <v>876</v>
      </c>
      <c r="N660" s="1" t="s">
        <v>13</v>
      </c>
      <c r="O660" s="1" t="s">
        <v>7664</v>
      </c>
    </row>
    <row r="661" spans="1:15" x14ac:dyDescent="0.4">
      <c r="A661" s="1" t="s">
        <v>3988</v>
      </c>
      <c r="B661" s="1" t="s">
        <v>3982</v>
      </c>
      <c r="C661" s="1" t="s">
        <v>3991</v>
      </c>
      <c r="D661" s="1" t="s">
        <v>3987</v>
      </c>
      <c r="E661" s="1" t="s">
        <v>3646</v>
      </c>
      <c r="F661" s="1" t="s">
        <v>17</v>
      </c>
      <c r="G661" s="4" t="str">
        <f>"07094"</f>
        <v>07094</v>
      </c>
      <c r="H661" s="1">
        <v>0</v>
      </c>
      <c r="I661" s="1">
        <v>0</v>
      </c>
      <c r="J661" s="1">
        <v>0</v>
      </c>
      <c r="K661" s="1">
        <v>77</v>
      </c>
      <c r="L661" s="1" t="s">
        <v>306</v>
      </c>
      <c r="M661" s="1" t="s">
        <v>3989</v>
      </c>
      <c r="N661" s="1" t="s">
        <v>13</v>
      </c>
      <c r="O661" s="1" t="s">
        <v>3990</v>
      </c>
    </row>
    <row r="662" spans="1:15" x14ac:dyDescent="0.4">
      <c r="A662" s="1" t="s">
        <v>2592</v>
      </c>
      <c r="B662" s="1" t="s">
        <v>2592</v>
      </c>
      <c r="C662" s="1" t="s">
        <v>2593</v>
      </c>
      <c r="D662" s="1" t="s">
        <v>2594</v>
      </c>
      <c r="E662" s="1" t="s">
        <v>8022</v>
      </c>
      <c r="F662" s="1" t="s">
        <v>17</v>
      </c>
      <c r="G662" s="4" t="str">
        <f>"07032"</f>
        <v>07032</v>
      </c>
      <c r="H662" s="1">
        <v>0</v>
      </c>
      <c r="I662" s="1">
        <v>0</v>
      </c>
      <c r="J662" s="1">
        <v>0</v>
      </c>
      <c r="K662" s="1">
        <v>81</v>
      </c>
      <c r="L662" s="1" t="s">
        <v>2446</v>
      </c>
      <c r="M662" s="1" t="s">
        <v>2447</v>
      </c>
      <c r="N662" s="1" t="s">
        <v>91</v>
      </c>
      <c r="O662" s="1" t="s">
        <v>2448</v>
      </c>
    </row>
    <row r="663" spans="1:15" x14ac:dyDescent="0.4">
      <c r="A663" s="1" t="s">
        <v>4119</v>
      </c>
      <c r="B663" s="1" t="s">
        <v>4119</v>
      </c>
      <c r="C663" s="1" t="s">
        <v>4122</v>
      </c>
      <c r="D663" s="1" t="s">
        <v>4123</v>
      </c>
      <c r="E663" s="1" t="s">
        <v>8025</v>
      </c>
      <c r="F663" s="1" t="s">
        <v>17</v>
      </c>
      <c r="G663" s="4" t="str">
        <f>"08822-1239"</f>
        <v>08822-1239</v>
      </c>
      <c r="H663" s="1">
        <v>0</v>
      </c>
      <c r="I663" s="1">
        <v>0</v>
      </c>
      <c r="J663" s="1">
        <v>0</v>
      </c>
      <c r="K663" s="1">
        <v>0</v>
      </c>
      <c r="L663" s="1" t="s">
        <v>685</v>
      </c>
      <c r="M663" s="1" t="s">
        <v>4120</v>
      </c>
      <c r="N663" s="1" t="s">
        <v>13</v>
      </c>
      <c r="O663" s="1" t="s">
        <v>4121</v>
      </c>
    </row>
    <row r="664" spans="1:15" x14ac:dyDescent="0.4">
      <c r="A664" s="1" t="s">
        <v>4125</v>
      </c>
      <c r="B664" s="1" t="s">
        <v>4124</v>
      </c>
      <c r="C664" s="1" t="s">
        <v>4129</v>
      </c>
      <c r="D664" s="1" t="s">
        <v>4130</v>
      </c>
      <c r="E664" s="1" t="s">
        <v>8025</v>
      </c>
      <c r="F664" s="1" t="s">
        <v>17</v>
      </c>
      <c r="G664" s="4" t="str">
        <f>"08801"</f>
        <v>08801</v>
      </c>
      <c r="H664" s="1">
        <v>0</v>
      </c>
      <c r="I664" s="1">
        <v>0</v>
      </c>
      <c r="J664" s="1">
        <v>0</v>
      </c>
      <c r="K664" s="1">
        <v>0</v>
      </c>
      <c r="L664" s="1" t="s">
        <v>4126</v>
      </c>
      <c r="M664" s="1" t="s">
        <v>4127</v>
      </c>
      <c r="N664" s="1" t="s">
        <v>13</v>
      </c>
      <c r="O664" s="1" t="s">
        <v>4128</v>
      </c>
    </row>
    <row r="665" spans="1:15" x14ac:dyDescent="0.4">
      <c r="A665" s="1" t="s">
        <v>4134</v>
      </c>
      <c r="B665" s="1" t="s">
        <v>4124</v>
      </c>
      <c r="C665" s="1" t="s">
        <v>4131</v>
      </c>
      <c r="D665" s="1" t="s">
        <v>4123</v>
      </c>
      <c r="E665" s="1" t="s">
        <v>8025</v>
      </c>
      <c r="F665" s="1" t="s">
        <v>17</v>
      </c>
      <c r="G665" s="4" t="str">
        <f>"08822"</f>
        <v>08822</v>
      </c>
      <c r="H665" s="1">
        <v>0</v>
      </c>
      <c r="I665" s="1">
        <v>0</v>
      </c>
      <c r="J665" s="1">
        <v>0</v>
      </c>
      <c r="K665" s="1">
        <v>0</v>
      </c>
      <c r="L665" s="1" t="s">
        <v>4126</v>
      </c>
      <c r="M665" s="1" t="s">
        <v>4127</v>
      </c>
      <c r="N665" s="1" t="s">
        <v>129</v>
      </c>
      <c r="O665" s="1" t="s">
        <v>4128</v>
      </c>
    </row>
    <row r="666" spans="1:15" x14ac:dyDescent="0.4">
      <c r="A666" s="1" t="s">
        <v>7566</v>
      </c>
      <c r="B666" s="1" t="s">
        <v>7552</v>
      </c>
      <c r="C666" s="1" t="s">
        <v>7569</v>
      </c>
      <c r="D666" s="1" t="s">
        <v>7553</v>
      </c>
      <c r="E666" s="1" t="s">
        <v>7833</v>
      </c>
      <c r="F666" s="1" t="s">
        <v>17</v>
      </c>
      <c r="G666" s="4" t="str">
        <f>"07205-2032"</f>
        <v>07205-2032</v>
      </c>
      <c r="H666" s="1">
        <v>0</v>
      </c>
      <c r="I666" s="1">
        <v>0</v>
      </c>
      <c r="J666" s="1">
        <v>0</v>
      </c>
      <c r="K666" s="1">
        <v>0</v>
      </c>
      <c r="L666" s="1" t="s">
        <v>7567</v>
      </c>
      <c r="M666" s="1" t="s">
        <v>2562</v>
      </c>
      <c r="N666" s="1" t="s">
        <v>13</v>
      </c>
      <c r="O666" s="1" t="s">
        <v>7568</v>
      </c>
    </row>
    <row r="667" spans="1:15" x14ac:dyDescent="0.4">
      <c r="A667" s="1" t="s">
        <v>3759</v>
      </c>
      <c r="B667" s="1" t="s">
        <v>3741</v>
      </c>
      <c r="C667" s="1" t="s">
        <v>3761</v>
      </c>
      <c r="D667" s="1" t="s">
        <v>3580</v>
      </c>
      <c r="E667" s="1" t="s">
        <v>8020</v>
      </c>
      <c r="F667" s="1" t="s">
        <v>17</v>
      </c>
      <c r="G667" s="4" t="str">
        <f>"08080-9499"</f>
        <v>08080-9499</v>
      </c>
      <c r="H667" s="1">
        <v>0</v>
      </c>
      <c r="I667" s="1">
        <v>0</v>
      </c>
      <c r="J667" s="1">
        <v>0</v>
      </c>
      <c r="K667" s="1">
        <v>88</v>
      </c>
      <c r="L667" s="1" t="s">
        <v>6434</v>
      </c>
      <c r="M667" s="1" t="s">
        <v>1621</v>
      </c>
      <c r="N667" s="1" t="s">
        <v>241</v>
      </c>
      <c r="O667" s="1" t="s">
        <v>3760</v>
      </c>
    </row>
    <row r="668" spans="1:15" x14ac:dyDescent="0.4">
      <c r="A668" s="1" t="s">
        <v>2816</v>
      </c>
      <c r="B668" s="1" t="s">
        <v>2797</v>
      </c>
      <c r="C668" s="1" t="s">
        <v>2819</v>
      </c>
      <c r="D668" s="1" t="s">
        <v>2802</v>
      </c>
      <c r="E668" s="1" t="s">
        <v>8023</v>
      </c>
      <c r="F668" s="1" t="s">
        <v>17</v>
      </c>
      <c r="G668" s="4" t="str">
        <f>"08302"</f>
        <v>08302</v>
      </c>
      <c r="H668" s="1">
        <v>0</v>
      </c>
      <c r="I668" s="1">
        <v>0</v>
      </c>
      <c r="J668" s="1">
        <v>0</v>
      </c>
      <c r="K668" s="1">
        <v>57</v>
      </c>
      <c r="L668" s="1" t="s">
        <v>2817</v>
      </c>
      <c r="M668" s="1" t="s">
        <v>171</v>
      </c>
      <c r="N668" s="1" t="s">
        <v>13</v>
      </c>
      <c r="O668" s="1" t="s">
        <v>2818</v>
      </c>
    </row>
    <row r="669" spans="1:15" x14ac:dyDescent="0.4">
      <c r="A669" s="1" t="s">
        <v>4989</v>
      </c>
      <c r="B669" s="1" t="s">
        <v>4968</v>
      </c>
      <c r="C669" s="1" t="s">
        <v>4991</v>
      </c>
      <c r="D669" s="1" t="s">
        <v>4992</v>
      </c>
      <c r="E669" s="1" t="s">
        <v>4704</v>
      </c>
      <c r="F669" s="1" t="s">
        <v>17</v>
      </c>
      <c r="G669" s="4" t="str">
        <f>"08810"</f>
        <v>08810</v>
      </c>
      <c r="H669" s="1">
        <v>0</v>
      </c>
      <c r="I669" s="1">
        <v>0</v>
      </c>
      <c r="J669" s="1">
        <v>0</v>
      </c>
      <c r="K669" s="1">
        <v>73</v>
      </c>
      <c r="L669" s="1" t="s">
        <v>846</v>
      </c>
      <c r="M669" s="1" t="s">
        <v>3413</v>
      </c>
      <c r="N669" s="1" t="s">
        <v>13</v>
      </c>
      <c r="O669" s="1" t="s">
        <v>4990</v>
      </c>
    </row>
    <row r="670" spans="1:15" x14ac:dyDescent="0.4">
      <c r="A670" s="1" t="s">
        <v>5289</v>
      </c>
      <c r="B670" s="1" t="s">
        <v>5283</v>
      </c>
      <c r="C670" s="1" t="s">
        <v>5291</v>
      </c>
      <c r="D670" s="1" t="s">
        <v>5288</v>
      </c>
      <c r="E670" s="1" t="s">
        <v>8027</v>
      </c>
      <c r="F670" s="1" t="s">
        <v>17</v>
      </c>
      <c r="G670" s="4" t="str">
        <f>"07733-1599"</f>
        <v>07733-1599</v>
      </c>
      <c r="H670" s="1">
        <v>0</v>
      </c>
      <c r="I670" s="1">
        <v>0</v>
      </c>
      <c r="J670" s="1">
        <v>0</v>
      </c>
      <c r="K670" s="1">
        <v>0</v>
      </c>
      <c r="L670" s="1" t="s">
        <v>143</v>
      </c>
      <c r="M670" s="1" t="s">
        <v>2489</v>
      </c>
      <c r="N670" s="1" t="s">
        <v>13</v>
      </c>
      <c r="O670" s="1" t="s">
        <v>5290</v>
      </c>
    </row>
    <row r="671" spans="1:15" x14ac:dyDescent="0.4">
      <c r="A671" s="1" t="s">
        <v>1007</v>
      </c>
      <c r="B671" s="1" t="s">
        <v>1006</v>
      </c>
      <c r="C671" s="1" t="s">
        <v>1011</v>
      </c>
      <c r="D671" s="1" t="s">
        <v>910</v>
      </c>
      <c r="E671" s="1" t="s">
        <v>8018</v>
      </c>
      <c r="F671" s="1" t="s">
        <v>17</v>
      </c>
      <c r="G671" s="4" t="str">
        <f>"07436-2740"</f>
        <v>07436-2740</v>
      </c>
      <c r="H671" s="1">
        <v>0</v>
      </c>
      <c r="I671" s="1">
        <v>0</v>
      </c>
      <c r="J671" s="1">
        <v>0</v>
      </c>
      <c r="K671" s="1">
        <v>0</v>
      </c>
      <c r="L671" s="1" t="s">
        <v>1008</v>
      </c>
      <c r="M671" s="1" t="s">
        <v>1009</v>
      </c>
      <c r="N671" s="1" t="s">
        <v>13</v>
      </c>
      <c r="O671" s="1" t="s">
        <v>1010</v>
      </c>
    </row>
    <row r="672" spans="1:15" x14ac:dyDescent="0.4">
      <c r="A672" s="1" t="s">
        <v>1728</v>
      </c>
      <c r="B672" s="1" t="s">
        <v>1727</v>
      </c>
      <c r="C672" s="1" t="s">
        <v>1731</v>
      </c>
      <c r="D672" s="1" t="s">
        <v>1732</v>
      </c>
      <c r="E672" s="1" t="s">
        <v>8019</v>
      </c>
      <c r="F672" s="1" t="s">
        <v>17</v>
      </c>
      <c r="G672" s="4" t="str">
        <f>"08088-9512"</f>
        <v>08088-9512</v>
      </c>
      <c r="H672" s="1">
        <v>0</v>
      </c>
      <c r="I672" s="1">
        <v>0</v>
      </c>
      <c r="J672" s="1">
        <v>0</v>
      </c>
      <c r="K672" s="1">
        <v>60</v>
      </c>
      <c r="L672" s="1" t="s">
        <v>43</v>
      </c>
      <c r="M672" s="1" t="s">
        <v>1729</v>
      </c>
      <c r="N672" s="1" t="s">
        <v>13</v>
      </c>
      <c r="O672" s="1" t="s">
        <v>1730</v>
      </c>
    </row>
    <row r="673" spans="1:15" x14ac:dyDescent="0.4">
      <c r="A673" s="1" t="s">
        <v>1733</v>
      </c>
      <c r="B673" s="1" t="s">
        <v>1727</v>
      </c>
      <c r="C673" s="1" t="s">
        <v>1736</v>
      </c>
      <c r="D673" s="1" t="s">
        <v>1732</v>
      </c>
      <c r="E673" s="1" t="s">
        <v>8019</v>
      </c>
      <c r="F673" s="1" t="s">
        <v>17</v>
      </c>
      <c r="G673" s="4" t="str">
        <f>"08088"</f>
        <v>08088</v>
      </c>
      <c r="H673" s="1">
        <v>0</v>
      </c>
      <c r="I673" s="1">
        <v>0</v>
      </c>
      <c r="J673" s="1">
        <v>0</v>
      </c>
      <c r="K673" s="1">
        <v>0</v>
      </c>
      <c r="L673" s="1" t="s">
        <v>1734</v>
      </c>
      <c r="M673" s="1" t="s">
        <v>1267</v>
      </c>
      <c r="N673" s="1" t="s">
        <v>13</v>
      </c>
      <c r="O673" s="1" t="s">
        <v>1735</v>
      </c>
    </row>
    <row r="674" spans="1:15" x14ac:dyDescent="0.4">
      <c r="A674" s="1" t="s">
        <v>5072</v>
      </c>
      <c r="B674" s="1" t="s">
        <v>5044</v>
      </c>
      <c r="C674" s="1" t="s">
        <v>5075</v>
      </c>
      <c r="D674" s="1" t="s">
        <v>5076</v>
      </c>
      <c r="E674" s="1" t="s">
        <v>4704</v>
      </c>
      <c r="F674" s="1" t="s">
        <v>17</v>
      </c>
      <c r="G674" s="4" t="str">
        <f>"08830"</f>
        <v>08830</v>
      </c>
      <c r="H674" s="1">
        <v>0</v>
      </c>
      <c r="I674" s="1">
        <v>0</v>
      </c>
      <c r="J674" s="1">
        <v>0</v>
      </c>
      <c r="K674" s="1">
        <v>45</v>
      </c>
      <c r="L674" s="1" t="s">
        <v>1401</v>
      </c>
      <c r="M674" s="1" t="s">
        <v>5073</v>
      </c>
      <c r="N674" s="1" t="s">
        <v>13</v>
      </c>
      <c r="O674" s="1" t="s">
        <v>5074</v>
      </c>
    </row>
    <row r="675" spans="1:15" x14ac:dyDescent="0.4">
      <c r="A675" s="1" t="s">
        <v>3908</v>
      </c>
      <c r="B675" s="1" t="s">
        <v>3883</v>
      </c>
      <c r="C675" s="1" t="s">
        <v>3911</v>
      </c>
      <c r="D675" s="1" t="s">
        <v>2439</v>
      </c>
      <c r="E675" s="1" t="s">
        <v>3646</v>
      </c>
      <c r="F675" s="1" t="s">
        <v>17</v>
      </c>
      <c r="G675" s="4" t="str">
        <f>"07305"</f>
        <v>07305</v>
      </c>
      <c r="H675" s="1">
        <v>0</v>
      </c>
      <c r="I675" s="1">
        <v>0</v>
      </c>
      <c r="J675" s="1">
        <v>0</v>
      </c>
      <c r="K675" s="1">
        <v>0</v>
      </c>
      <c r="L675" s="1" t="s">
        <v>3909</v>
      </c>
      <c r="M675" s="1" t="s">
        <v>1341</v>
      </c>
      <c r="N675" s="1" t="s">
        <v>13</v>
      </c>
      <c r="O675" s="1" t="s">
        <v>3910</v>
      </c>
    </row>
    <row r="676" spans="1:15" x14ac:dyDescent="0.4">
      <c r="A676" s="1" t="s">
        <v>3912</v>
      </c>
      <c r="B676" s="1" t="s">
        <v>3883</v>
      </c>
      <c r="C676" s="1" t="s">
        <v>3915</v>
      </c>
      <c r="D676" s="1" t="s">
        <v>2439</v>
      </c>
      <c r="E676" s="1" t="s">
        <v>3646</v>
      </c>
      <c r="F676" s="1" t="s">
        <v>17</v>
      </c>
      <c r="G676" s="4" t="str">
        <f>"07305"</f>
        <v>07305</v>
      </c>
      <c r="H676" s="1">
        <v>0</v>
      </c>
      <c r="I676" s="1">
        <v>0</v>
      </c>
      <c r="J676" s="1">
        <v>0</v>
      </c>
      <c r="K676" s="1">
        <v>0</v>
      </c>
      <c r="L676" s="1" t="s">
        <v>2942</v>
      </c>
      <c r="M676" s="1" t="s">
        <v>3913</v>
      </c>
      <c r="N676" s="1" t="s">
        <v>13</v>
      </c>
      <c r="O676" s="1" t="s">
        <v>3914</v>
      </c>
    </row>
    <row r="677" spans="1:15" x14ac:dyDescent="0.4">
      <c r="A677" s="1" t="s">
        <v>2596</v>
      </c>
      <c r="B677" s="1" t="s">
        <v>2595</v>
      </c>
      <c r="C677" s="1" t="s">
        <v>2599</v>
      </c>
      <c r="D677" s="1" t="s">
        <v>2600</v>
      </c>
      <c r="E677" s="1" t="s">
        <v>8022</v>
      </c>
      <c r="F677" s="1" t="s">
        <v>17</v>
      </c>
      <c r="G677" s="4" t="str">
        <f>"08611-2417"</f>
        <v>08611-2417</v>
      </c>
      <c r="H677" s="1">
        <v>0</v>
      </c>
      <c r="I677" s="1">
        <v>0</v>
      </c>
      <c r="J677" s="1">
        <v>0</v>
      </c>
      <c r="K677" s="1">
        <v>18</v>
      </c>
      <c r="L677" s="1" t="s">
        <v>1413</v>
      </c>
      <c r="M677" s="1" t="s">
        <v>2597</v>
      </c>
      <c r="N677" s="1" t="s">
        <v>13</v>
      </c>
      <c r="O677" s="1" t="s">
        <v>2598</v>
      </c>
    </row>
    <row r="678" spans="1:15" x14ac:dyDescent="0.4">
      <c r="A678" s="1" t="s">
        <v>6707</v>
      </c>
      <c r="B678" s="1" t="s">
        <v>6692</v>
      </c>
      <c r="C678" s="1" t="s">
        <v>6710</v>
      </c>
      <c r="D678" s="1" t="s">
        <v>2460</v>
      </c>
      <c r="E678" s="1" t="s">
        <v>2670</v>
      </c>
      <c r="F678" s="1" t="s">
        <v>17</v>
      </c>
      <c r="G678" s="4" t="str">
        <f>"07501"</f>
        <v>07501</v>
      </c>
      <c r="H678" s="1">
        <v>0</v>
      </c>
      <c r="I678" s="1">
        <v>0</v>
      </c>
      <c r="J678" s="1">
        <v>0</v>
      </c>
      <c r="K678" s="1">
        <v>0</v>
      </c>
      <c r="L678" s="1" t="s">
        <v>1401</v>
      </c>
      <c r="M678" s="1" t="s">
        <v>6708</v>
      </c>
      <c r="N678" s="1" t="s">
        <v>13</v>
      </c>
      <c r="O678" s="1" t="s">
        <v>6709</v>
      </c>
    </row>
    <row r="679" spans="1:15" x14ac:dyDescent="0.4">
      <c r="A679" s="1" t="s">
        <v>6036</v>
      </c>
      <c r="B679" s="1" t="s">
        <v>6029</v>
      </c>
      <c r="C679" s="1" t="s">
        <v>6039</v>
      </c>
      <c r="D679" s="1" t="s">
        <v>6040</v>
      </c>
      <c r="E679" s="1" t="s">
        <v>1503</v>
      </c>
      <c r="F679" s="1" t="s">
        <v>17</v>
      </c>
      <c r="G679" s="4" t="str">
        <f>"07005"</f>
        <v>07005</v>
      </c>
      <c r="H679" s="1">
        <v>0</v>
      </c>
      <c r="I679" s="1">
        <v>0</v>
      </c>
      <c r="J679" s="1">
        <v>0</v>
      </c>
      <c r="K679" s="1">
        <v>46</v>
      </c>
      <c r="L679" s="1" t="s">
        <v>380</v>
      </c>
      <c r="M679" s="1" t="s">
        <v>6037</v>
      </c>
      <c r="N679" s="1" t="s">
        <v>13</v>
      </c>
      <c r="O679" s="1" t="s">
        <v>6038</v>
      </c>
    </row>
    <row r="680" spans="1:15" x14ac:dyDescent="0.4">
      <c r="A680" s="1" t="s">
        <v>7544</v>
      </c>
      <c r="B680" s="1" t="s">
        <v>7477</v>
      </c>
      <c r="C680" s="1" t="s">
        <v>7547</v>
      </c>
      <c r="D680" s="1" t="s">
        <v>1348</v>
      </c>
      <c r="E680" s="1" t="s">
        <v>7833</v>
      </c>
      <c r="F680" s="1" t="s">
        <v>17</v>
      </c>
      <c r="G680" s="4" t="str">
        <f>"07206"</f>
        <v>07206</v>
      </c>
      <c r="H680" s="1">
        <v>0</v>
      </c>
      <c r="I680" s="1">
        <v>0</v>
      </c>
      <c r="J680" s="1">
        <v>0</v>
      </c>
      <c r="K680" s="1">
        <v>39</v>
      </c>
      <c r="L680" s="1" t="s">
        <v>370</v>
      </c>
      <c r="M680" s="1" t="s">
        <v>7545</v>
      </c>
      <c r="N680" s="1" t="s">
        <v>13</v>
      </c>
      <c r="O680" s="1" t="s">
        <v>7546</v>
      </c>
    </row>
    <row r="681" spans="1:15" x14ac:dyDescent="0.4">
      <c r="A681" s="1" t="s">
        <v>3293</v>
      </c>
      <c r="B681" s="1" t="s">
        <v>3249</v>
      </c>
      <c r="C681" s="1" t="s">
        <v>3296</v>
      </c>
      <c r="D681" s="1" t="s">
        <v>2153</v>
      </c>
      <c r="E681" s="1" t="s">
        <v>8024</v>
      </c>
      <c r="F681" s="1" t="s">
        <v>17</v>
      </c>
      <c r="G681" s="4" t="str">
        <f>"07105"</f>
        <v>07105</v>
      </c>
      <c r="H681" s="1">
        <v>0</v>
      </c>
      <c r="I681" s="1">
        <v>0</v>
      </c>
      <c r="J681" s="1">
        <v>0</v>
      </c>
      <c r="K681" s="1">
        <v>48</v>
      </c>
      <c r="L681" s="1" t="s">
        <v>255</v>
      </c>
      <c r="M681" s="1" t="s">
        <v>3294</v>
      </c>
      <c r="N681" s="1" t="s">
        <v>2322</v>
      </c>
      <c r="O681" s="1" t="s">
        <v>3295</v>
      </c>
    </row>
    <row r="682" spans="1:15" x14ac:dyDescent="0.4">
      <c r="A682" s="1" t="s">
        <v>6101</v>
      </c>
      <c r="B682" s="1" t="s">
        <v>6095</v>
      </c>
      <c r="C682" s="1" t="s">
        <v>6104</v>
      </c>
      <c r="D682" s="1" t="s">
        <v>6096</v>
      </c>
      <c r="E682" s="1" t="s">
        <v>1503</v>
      </c>
      <c r="F682" s="1" t="s">
        <v>17</v>
      </c>
      <c r="G682" s="4" t="str">
        <f>"07869"</f>
        <v>07869</v>
      </c>
      <c r="H682" s="1">
        <v>0</v>
      </c>
      <c r="I682" s="1">
        <v>0</v>
      </c>
      <c r="J682" s="1">
        <v>0</v>
      </c>
      <c r="K682" s="1">
        <v>70</v>
      </c>
      <c r="L682" s="1" t="s">
        <v>309</v>
      </c>
      <c r="M682" s="1" t="s">
        <v>6102</v>
      </c>
      <c r="N682" s="1" t="s">
        <v>13</v>
      </c>
      <c r="O682" s="1" t="s">
        <v>6103</v>
      </c>
    </row>
    <row r="683" spans="1:15" x14ac:dyDescent="0.4">
      <c r="A683" s="1" t="s">
        <v>3127</v>
      </c>
      <c r="B683" s="1" t="s">
        <v>3117</v>
      </c>
      <c r="C683" s="1" t="s">
        <v>3131</v>
      </c>
      <c r="D683" s="1" t="s">
        <v>2465</v>
      </c>
      <c r="E683" s="1" t="s">
        <v>8024</v>
      </c>
      <c r="F683" s="1" t="s">
        <v>17</v>
      </c>
      <c r="G683" s="4" t="str">
        <f>"07111-2437"</f>
        <v>07111-2437</v>
      </c>
      <c r="H683" s="1">
        <v>0</v>
      </c>
      <c r="I683" s="1">
        <v>0</v>
      </c>
      <c r="J683" s="1">
        <v>0</v>
      </c>
      <c r="K683" s="1">
        <v>0</v>
      </c>
      <c r="L683" s="1" t="s">
        <v>3128</v>
      </c>
      <c r="M683" s="1" t="s">
        <v>3129</v>
      </c>
      <c r="N683" s="1" t="s">
        <v>13</v>
      </c>
      <c r="O683" s="1" t="s">
        <v>3130</v>
      </c>
    </row>
    <row r="684" spans="1:15" x14ac:dyDescent="0.4">
      <c r="A684" s="1" t="s">
        <v>5077</v>
      </c>
      <c r="B684" s="1" t="s">
        <v>5044</v>
      </c>
      <c r="C684" s="1" t="s">
        <v>5080</v>
      </c>
      <c r="D684" s="1" t="s">
        <v>5076</v>
      </c>
      <c r="E684" s="1" t="s">
        <v>4704</v>
      </c>
      <c r="F684" s="1" t="s">
        <v>17</v>
      </c>
      <c r="G684" s="4" t="str">
        <f>"08830"</f>
        <v>08830</v>
      </c>
      <c r="H684" s="1">
        <v>0</v>
      </c>
      <c r="I684" s="1">
        <v>0</v>
      </c>
      <c r="J684" s="1">
        <v>0</v>
      </c>
      <c r="K684" s="1">
        <v>0</v>
      </c>
      <c r="L684" s="1" t="s">
        <v>28</v>
      </c>
      <c r="M684" s="1" t="s">
        <v>5078</v>
      </c>
      <c r="N684" s="1" t="s">
        <v>13</v>
      </c>
      <c r="O684" s="1" t="s">
        <v>5079</v>
      </c>
    </row>
    <row r="685" spans="1:15" x14ac:dyDescent="0.4">
      <c r="A685" s="1" t="s">
        <v>1487</v>
      </c>
      <c r="B685" s="1" t="s">
        <v>1474</v>
      </c>
      <c r="C685" s="1" t="s">
        <v>1490</v>
      </c>
      <c r="D685" s="1" t="s">
        <v>1480</v>
      </c>
      <c r="E685" s="1" t="s">
        <v>8019</v>
      </c>
      <c r="F685" s="1" t="s">
        <v>17</v>
      </c>
      <c r="G685" s="4" t="str">
        <f>"08053"</f>
        <v>08053</v>
      </c>
      <c r="H685" s="1">
        <v>0</v>
      </c>
      <c r="I685" s="1">
        <v>0</v>
      </c>
      <c r="J685" s="1">
        <v>0</v>
      </c>
      <c r="K685" s="1">
        <v>82</v>
      </c>
      <c r="L685" s="1" t="s">
        <v>842</v>
      </c>
      <c r="M685" s="1" t="s">
        <v>1488</v>
      </c>
      <c r="N685" s="1" t="s">
        <v>13</v>
      </c>
      <c r="O685" s="1" t="s">
        <v>1489</v>
      </c>
    </row>
    <row r="686" spans="1:15" x14ac:dyDescent="0.4">
      <c r="A686" s="1" t="s">
        <v>1220</v>
      </c>
      <c r="B686" s="1" t="s">
        <v>1219</v>
      </c>
      <c r="C686" s="1" t="s">
        <v>1223</v>
      </c>
      <c r="D686" s="1" t="s">
        <v>1224</v>
      </c>
      <c r="E686" s="1" t="s">
        <v>8018</v>
      </c>
      <c r="F686" s="1" t="s">
        <v>17</v>
      </c>
      <c r="G686" s="4" t="str">
        <f>"07670"</f>
        <v>07670</v>
      </c>
      <c r="H686" s="1">
        <v>0</v>
      </c>
      <c r="I686" s="1">
        <v>0</v>
      </c>
      <c r="J686" s="1">
        <v>0</v>
      </c>
      <c r="K686" s="1">
        <v>39</v>
      </c>
      <c r="L686" s="1" t="s">
        <v>1221</v>
      </c>
      <c r="M686" s="1" t="s">
        <v>760</v>
      </c>
      <c r="N686" s="1" t="s">
        <v>13</v>
      </c>
      <c r="O686" s="1" t="s">
        <v>1222</v>
      </c>
    </row>
    <row r="687" spans="1:15" x14ac:dyDescent="0.4">
      <c r="A687" s="1" t="s">
        <v>7733</v>
      </c>
      <c r="B687" s="1" t="s">
        <v>7724</v>
      </c>
      <c r="C687" s="1" t="s">
        <v>7736</v>
      </c>
      <c r="D687" s="1" t="s">
        <v>7728</v>
      </c>
      <c r="E687" s="1" t="s">
        <v>7833</v>
      </c>
      <c r="F687" s="1" t="s">
        <v>17</v>
      </c>
      <c r="G687" s="4" t="str">
        <f>"07076"</f>
        <v>07076</v>
      </c>
      <c r="H687" s="1">
        <v>0</v>
      </c>
      <c r="I687" s="1">
        <v>0</v>
      </c>
      <c r="J687" s="1">
        <v>0</v>
      </c>
      <c r="K687" s="1">
        <v>81</v>
      </c>
      <c r="L687" s="1" t="s">
        <v>293</v>
      </c>
      <c r="M687" s="1" t="s">
        <v>7734</v>
      </c>
      <c r="N687" s="1" t="s">
        <v>13</v>
      </c>
      <c r="O687" s="1" t="s">
        <v>7735</v>
      </c>
    </row>
    <row r="688" spans="1:15" x14ac:dyDescent="0.4">
      <c r="A688" s="1" t="s">
        <v>7500</v>
      </c>
      <c r="B688" s="1" t="s">
        <v>7477</v>
      </c>
      <c r="C688" s="1" t="s">
        <v>7502</v>
      </c>
      <c r="D688" s="1" t="s">
        <v>1348</v>
      </c>
      <c r="E688" s="1" t="s">
        <v>7833</v>
      </c>
      <c r="F688" s="1" t="s">
        <v>17</v>
      </c>
      <c r="G688" s="4" t="str">
        <f>"07202"</f>
        <v>07202</v>
      </c>
      <c r="H688" s="1">
        <v>0</v>
      </c>
      <c r="I688" s="1">
        <v>0</v>
      </c>
      <c r="J688" s="1">
        <v>0</v>
      </c>
      <c r="K688" s="1">
        <v>0</v>
      </c>
      <c r="L688" s="1" t="s">
        <v>434</v>
      </c>
      <c r="M688" s="1" t="s">
        <v>1178</v>
      </c>
      <c r="N688" s="1" t="s">
        <v>13</v>
      </c>
      <c r="O688" s="1" t="s">
        <v>7501</v>
      </c>
    </row>
    <row r="689" spans="1:15" x14ac:dyDescent="0.4">
      <c r="A689" s="1" t="s">
        <v>2145</v>
      </c>
      <c r="B689" s="1" t="s">
        <v>2127</v>
      </c>
      <c r="C689" s="1" t="s">
        <v>2149</v>
      </c>
      <c r="D689" s="1" t="s">
        <v>1831</v>
      </c>
      <c r="E689" s="1" t="s">
        <v>1909</v>
      </c>
      <c r="F689" s="1" t="s">
        <v>17</v>
      </c>
      <c r="G689" s="4" t="str">
        <f>"08033"</f>
        <v>08033</v>
      </c>
      <c r="H689" s="1">
        <v>0</v>
      </c>
      <c r="I689" s="1">
        <v>0</v>
      </c>
      <c r="J689" s="1">
        <v>53</v>
      </c>
      <c r="K689" s="1">
        <v>0</v>
      </c>
      <c r="L689" s="1" t="s">
        <v>2146</v>
      </c>
      <c r="M689" s="1" t="s">
        <v>2147</v>
      </c>
      <c r="N689" s="1" t="s">
        <v>13</v>
      </c>
      <c r="O689" s="1" t="s">
        <v>2148</v>
      </c>
    </row>
    <row r="690" spans="1:15" x14ac:dyDescent="0.4">
      <c r="A690" s="1" t="s">
        <v>4103</v>
      </c>
      <c r="B690" s="1" t="s">
        <v>4101</v>
      </c>
      <c r="C690" s="1" t="s">
        <v>4106</v>
      </c>
      <c r="D690" s="1" t="s">
        <v>4102</v>
      </c>
      <c r="E690" s="1" t="s">
        <v>8025</v>
      </c>
      <c r="F690" s="1" t="s">
        <v>17</v>
      </c>
      <c r="G690" s="4" t="str">
        <f>"08822"</f>
        <v>08822</v>
      </c>
      <c r="H690" s="1">
        <v>0</v>
      </c>
      <c r="I690" s="1">
        <v>0</v>
      </c>
      <c r="J690" s="1">
        <v>0</v>
      </c>
      <c r="K690" s="1">
        <v>0</v>
      </c>
      <c r="L690" s="1" t="s">
        <v>306</v>
      </c>
      <c r="M690" s="1" t="s">
        <v>4104</v>
      </c>
      <c r="N690" s="1" t="s">
        <v>13</v>
      </c>
      <c r="O690" s="1" t="s">
        <v>4105</v>
      </c>
    </row>
    <row r="691" spans="1:15" x14ac:dyDescent="0.4">
      <c r="A691" s="1" t="s">
        <v>4494</v>
      </c>
      <c r="B691" s="1" t="s">
        <v>4483</v>
      </c>
      <c r="C691" s="1" t="s">
        <v>4496</v>
      </c>
      <c r="D691" s="1" t="s">
        <v>4488</v>
      </c>
      <c r="E691" s="1" t="s">
        <v>8026</v>
      </c>
      <c r="F691" s="1" t="s">
        <v>17</v>
      </c>
      <c r="G691" s="4" t="str">
        <f>"08536"</f>
        <v>08536</v>
      </c>
      <c r="H691" s="1">
        <v>0</v>
      </c>
      <c r="I691" s="1">
        <v>0</v>
      </c>
      <c r="J691" s="1">
        <v>0</v>
      </c>
      <c r="K691" s="1">
        <v>101</v>
      </c>
      <c r="L691" s="1" t="s">
        <v>226</v>
      </c>
      <c r="M691" s="1" t="s">
        <v>2498</v>
      </c>
      <c r="N691" s="1" t="s">
        <v>13</v>
      </c>
      <c r="O691" s="1" t="s">
        <v>4495</v>
      </c>
    </row>
    <row r="692" spans="1:15" x14ac:dyDescent="0.4">
      <c r="A692" s="1" t="s">
        <v>6302</v>
      </c>
      <c r="B692" s="1" t="s">
        <v>6293</v>
      </c>
      <c r="C692" s="1" t="s">
        <v>6305</v>
      </c>
      <c r="D692" s="1" t="s">
        <v>1326</v>
      </c>
      <c r="E692" s="1" t="s">
        <v>8028</v>
      </c>
      <c r="F692" s="1" t="s">
        <v>17</v>
      </c>
      <c r="G692" s="4" t="str">
        <f>"08527-3497"</f>
        <v>08527-3497</v>
      </c>
      <c r="H692" s="1">
        <v>0</v>
      </c>
      <c r="I692" s="1">
        <v>0</v>
      </c>
      <c r="J692" s="1">
        <v>0</v>
      </c>
      <c r="K692" s="1">
        <v>0</v>
      </c>
      <c r="L692" s="1" t="s">
        <v>4338</v>
      </c>
      <c r="M692" s="1" t="s">
        <v>6303</v>
      </c>
      <c r="N692" s="1" t="s">
        <v>13</v>
      </c>
      <c r="O692" s="1" t="s">
        <v>6304</v>
      </c>
    </row>
    <row r="693" spans="1:15" x14ac:dyDescent="0.4">
      <c r="A693" s="1" t="s">
        <v>1779</v>
      </c>
      <c r="B693" s="1" t="s">
        <v>1769</v>
      </c>
      <c r="C693" s="1" t="s">
        <v>1783</v>
      </c>
      <c r="D693" s="1" t="s">
        <v>1771</v>
      </c>
      <c r="E693" s="1" t="s">
        <v>8019</v>
      </c>
      <c r="F693" s="1" t="s">
        <v>17</v>
      </c>
      <c r="G693" s="4" t="str">
        <f>"08046"</f>
        <v>08046</v>
      </c>
      <c r="H693" s="1">
        <v>0</v>
      </c>
      <c r="I693" s="1">
        <v>0</v>
      </c>
      <c r="J693" s="1">
        <v>0</v>
      </c>
      <c r="K693" s="1">
        <v>0</v>
      </c>
      <c r="L693" s="1" t="s">
        <v>1780</v>
      </c>
      <c r="M693" s="1" t="s">
        <v>1781</v>
      </c>
      <c r="N693" s="1" t="s">
        <v>13</v>
      </c>
      <c r="O693" s="1" t="s">
        <v>1782</v>
      </c>
    </row>
    <row r="694" spans="1:15" x14ac:dyDescent="0.4">
      <c r="A694" s="1" t="s">
        <v>2018</v>
      </c>
      <c r="B694" s="1" t="s">
        <v>2007</v>
      </c>
      <c r="C694" s="1" t="s">
        <v>2021</v>
      </c>
      <c r="D694" s="1" t="s">
        <v>2012</v>
      </c>
      <c r="E694" s="1" t="s">
        <v>1909</v>
      </c>
      <c r="F694" s="1" t="s">
        <v>17</v>
      </c>
      <c r="G694" s="4" t="str">
        <f>"08108"</f>
        <v>08108</v>
      </c>
      <c r="H694" s="1">
        <v>0</v>
      </c>
      <c r="I694" s="1">
        <v>0</v>
      </c>
      <c r="J694" s="1">
        <v>0</v>
      </c>
      <c r="K694" s="1">
        <v>21</v>
      </c>
      <c r="L694" s="1" t="s">
        <v>236</v>
      </c>
      <c r="M694" s="1" t="s">
        <v>2019</v>
      </c>
      <c r="N694" s="1" t="s">
        <v>91</v>
      </c>
      <c r="O694" s="1" t="s">
        <v>2020</v>
      </c>
    </row>
    <row r="695" spans="1:15" x14ac:dyDescent="0.4">
      <c r="A695" s="1" t="s">
        <v>4817</v>
      </c>
      <c r="B695" s="1" t="s">
        <v>4808</v>
      </c>
      <c r="C695" s="1" t="s">
        <v>4820</v>
      </c>
      <c r="D695" s="1" t="s">
        <v>4813</v>
      </c>
      <c r="E695" s="1" t="s">
        <v>4704</v>
      </c>
      <c r="F695" s="1" t="s">
        <v>17</v>
      </c>
      <c r="G695" s="4" t="str">
        <f>"08857"</f>
        <v>08857</v>
      </c>
      <c r="H695" s="1">
        <v>0</v>
      </c>
      <c r="I695" s="1">
        <v>0</v>
      </c>
      <c r="J695" s="1">
        <v>0</v>
      </c>
      <c r="K695" s="1">
        <v>89</v>
      </c>
      <c r="L695" s="1" t="s">
        <v>969</v>
      </c>
      <c r="M695" s="1" t="s">
        <v>4818</v>
      </c>
      <c r="N695" s="1" t="s">
        <v>13</v>
      </c>
      <c r="O695" s="1" t="s">
        <v>4819</v>
      </c>
    </row>
    <row r="696" spans="1:15" x14ac:dyDescent="0.4">
      <c r="A696" s="1" t="s">
        <v>3006</v>
      </c>
      <c r="B696" s="1" t="s">
        <v>2999</v>
      </c>
      <c r="C696" s="1" t="s">
        <v>3010</v>
      </c>
      <c r="D696" s="1" t="s">
        <v>3011</v>
      </c>
      <c r="E696" s="1" t="s">
        <v>8024</v>
      </c>
      <c r="F696" s="1" t="s">
        <v>17</v>
      </c>
      <c r="G696" s="4" t="str">
        <f>"07006"</f>
        <v>07006</v>
      </c>
      <c r="H696" s="1">
        <v>0</v>
      </c>
      <c r="I696" s="1">
        <v>0</v>
      </c>
      <c r="J696" s="1">
        <v>0</v>
      </c>
      <c r="K696" s="1">
        <v>0</v>
      </c>
      <c r="L696" s="1" t="s">
        <v>3007</v>
      </c>
      <c r="M696" s="1" t="s">
        <v>3008</v>
      </c>
      <c r="N696" s="1" t="s">
        <v>13</v>
      </c>
      <c r="O696" s="1" t="s">
        <v>3009</v>
      </c>
    </row>
    <row r="697" spans="1:15" x14ac:dyDescent="0.4">
      <c r="A697" s="1" t="s">
        <v>1961</v>
      </c>
      <c r="B697" s="1" t="s">
        <v>1927</v>
      </c>
      <c r="C697" s="1" t="s">
        <v>1964</v>
      </c>
      <c r="D697" s="1" t="s">
        <v>1933</v>
      </c>
      <c r="E697" s="1" t="s">
        <v>1909</v>
      </c>
      <c r="F697" s="1" t="s">
        <v>17</v>
      </c>
      <c r="G697" s="4" t="str">
        <f>"08003-1121"</f>
        <v>08003-1121</v>
      </c>
      <c r="H697" s="1">
        <v>0</v>
      </c>
      <c r="I697" s="1">
        <v>0</v>
      </c>
      <c r="J697" s="1">
        <v>0</v>
      </c>
      <c r="K697" s="1">
        <v>40</v>
      </c>
      <c r="L697" s="1" t="s">
        <v>1304</v>
      </c>
      <c r="M697" s="1" t="s">
        <v>1962</v>
      </c>
      <c r="N697" s="1" t="s">
        <v>13</v>
      </c>
      <c r="O697" s="1" t="s">
        <v>1963</v>
      </c>
    </row>
    <row r="698" spans="1:15" x14ac:dyDescent="0.4">
      <c r="A698" s="1" t="s">
        <v>3916</v>
      </c>
      <c r="B698" s="1" t="s">
        <v>3883</v>
      </c>
      <c r="C698" s="1" t="s">
        <v>3919</v>
      </c>
      <c r="D698" s="1" t="s">
        <v>2605</v>
      </c>
      <c r="E698" s="1" t="s">
        <v>3646</v>
      </c>
      <c r="F698" s="1" t="s">
        <v>17</v>
      </c>
      <c r="G698" s="4" t="str">
        <f>"07305-1408"</f>
        <v>07305-1408</v>
      </c>
      <c r="H698" s="1">
        <v>0</v>
      </c>
      <c r="I698" s="1">
        <v>0</v>
      </c>
      <c r="J698" s="1">
        <v>0</v>
      </c>
      <c r="K698" s="1">
        <v>70</v>
      </c>
      <c r="L698" s="1" t="s">
        <v>293</v>
      </c>
      <c r="M698" s="1" t="s">
        <v>3917</v>
      </c>
      <c r="N698" s="1" t="s">
        <v>13</v>
      </c>
      <c r="O698" s="1" t="s">
        <v>3918</v>
      </c>
    </row>
    <row r="699" spans="1:15" x14ac:dyDescent="0.4">
      <c r="A699" s="1" t="s">
        <v>6869</v>
      </c>
      <c r="B699" s="1" t="s">
        <v>6857</v>
      </c>
      <c r="C699" s="1" t="s">
        <v>6873</v>
      </c>
      <c r="D699" s="1" t="s">
        <v>6682</v>
      </c>
      <c r="E699" s="1" t="s">
        <v>2670</v>
      </c>
      <c r="F699" s="1" t="s">
        <v>17</v>
      </c>
      <c r="G699" s="4" t="str">
        <f>"07470"</f>
        <v>07470</v>
      </c>
      <c r="H699" s="1">
        <v>0</v>
      </c>
      <c r="I699" s="1">
        <v>0</v>
      </c>
      <c r="J699" s="1">
        <v>0</v>
      </c>
      <c r="K699" s="1">
        <v>46</v>
      </c>
      <c r="L699" s="1" t="s">
        <v>6870</v>
      </c>
      <c r="M699" s="1" t="s">
        <v>6871</v>
      </c>
      <c r="N699" s="1" t="s">
        <v>13</v>
      </c>
      <c r="O699" s="1" t="s">
        <v>6872</v>
      </c>
    </row>
    <row r="700" spans="1:15" x14ac:dyDescent="0.4">
      <c r="A700" s="1" t="s">
        <v>3921</v>
      </c>
      <c r="B700" s="1" t="s">
        <v>3883</v>
      </c>
      <c r="C700" s="1" t="s">
        <v>3925</v>
      </c>
      <c r="D700" s="1" t="s">
        <v>2605</v>
      </c>
      <c r="E700" s="1" t="s">
        <v>3646</v>
      </c>
      <c r="F700" s="1" t="s">
        <v>17</v>
      </c>
      <c r="G700" s="4" t="str">
        <f>"07302-3307"</f>
        <v>07302-3307</v>
      </c>
      <c r="H700" s="1">
        <v>0</v>
      </c>
      <c r="I700" s="1">
        <v>0</v>
      </c>
      <c r="J700" s="1">
        <v>0</v>
      </c>
      <c r="K700" s="1">
        <v>0</v>
      </c>
      <c r="L700" s="1" t="s">
        <v>3922</v>
      </c>
      <c r="M700" s="1" t="s">
        <v>3923</v>
      </c>
      <c r="N700" s="1" t="s">
        <v>13</v>
      </c>
      <c r="O700" s="1" t="s">
        <v>3924</v>
      </c>
    </row>
    <row r="701" spans="1:15" x14ac:dyDescent="0.4">
      <c r="A701" s="1" t="s">
        <v>4875</v>
      </c>
      <c r="B701" s="1" t="s">
        <v>4858</v>
      </c>
      <c r="C701" s="1" t="s">
        <v>4878</v>
      </c>
      <c r="D701" s="1" t="s">
        <v>4719</v>
      </c>
      <c r="E701" s="1" t="s">
        <v>4704</v>
      </c>
      <c r="F701" s="1" t="s">
        <v>17</v>
      </c>
      <c r="G701" s="4" t="str">
        <f>"08861-1705"</f>
        <v>08861-1705</v>
      </c>
      <c r="H701" s="1">
        <v>0</v>
      </c>
      <c r="I701" s="1">
        <v>0</v>
      </c>
      <c r="J701" s="1">
        <v>0</v>
      </c>
      <c r="K701" s="1">
        <v>84</v>
      </c>
      <c r="L701" s="1" t="s">
        <v>18</v>
      </c>
      <c r="M701" s="1" t="s">
        <v>4876</v>
      </c>
      <c r="N701" s="1" t="s">
        <v>13</v>
      </c>
      <c r="O701" s="1" t="s">
        <v>4877</v>
      </c>
    </row>
    <row r="702" spans="1:15" x14ac:dyDescent="0.4">
      <c r="A702" s="1" t="s">
        <v>1965</v>
      </c>
      <c r="B702" s="1" t="s">
        <v>1927</v>
      </c>
      <c r="C702" s="1" t="s">
        <v>1969</v>
      </c>
      <c r="D702" s="1" t="s">
        <v>1933</v>
      </c>
      <c r="E702" s="1" t="s">
        <v>1909</v>
      </c>
      <c r="F702" s="1" t="s">
        <v>17</v>
      </c>
      <c r="G702" s="4" t="str">
        <f>"08034-3121"</f>
        <v>08034-3121</v>
      </c>
      <c r="H702" s="1">
        <v>0</v>
      </c>
      <c r="I702" s="1">
        <v>0</v>
      </c>
      <c r="J702" s="1">
        <v>0</v>
      </c>
      <c r="K702" s="1">
        <v>66</v>
      </c>
      <c r="L702" s="1" t="s">
        <v>1966</v>
      </c>
      <c r="M702" s="1" t="s">
        <v>1967</v>
      </c>
      <c r="N702" s="1" t="s">
        <v>13</v>
      </c>
      <c r="O702" s="1" t="s">
        <v>1968</v>
      </c>
    </row>
    <row r="703" spans="1:15" x14ac:dyDescent="0.4">
      <c r="A703" s="1" t="s">
        <v>4581</v>
      </c>
      <c r="B703" s="1" t="s">
        <v>4570</v>
      </c>
      <c r="C703" s="1" t="s">
        <v>4584</v>
      </c>
      <c r="D703" s="1" t="s">
        <v>4571</v>
      </c>
      <c r="E703" s="1" t="s">
        <v>4704</v>
      </c>
      <c r="F703" s="1" t="s">
        <v>17</v>
      </c>
      <c r="G703" s="4" t="str">
        <f>"08820"</f>
        <v>08820</v>
      </c>
      <c r="H703" s="1">
        <v>0</v>
      </c>
      <c r="I703" s="1">
        <v>0</v>
      </c>
      <c r="J703" s="1">
        <v>0</v>
      </c>
      <c r="K703" s="1">
        <v>0</v>
      </c>
      <c r="L703" s="1" t="s">
        <v>224</v>
      </c>
      <c r="M703" s="1" t="s">
        <v>4582</v>
      </c>
      <c r="N703" s="1" t="s">
        <v>13</v>
      </c>
      <c r="O703" s="1" t="s">
        <v>4583</v>
      </c>
    </row>
    <row r="704" spans="1:15" x14ac:dyDescent="0.4">
      <c r="A704" s="1" t="s">
        <v>4585</v>
      </c>
      <c r="B704" s="1" t="s">
        <v>4570</v>
      </c>
      <c r="C704" s="1" t="s">
        <v>4588</v>
      </c>
      <c r="D704" s="1" t="s">
        <v>4571</v>
      </c>
      <c r="E704" s="1" t="s">
        <v>4704</v>
      </c>
      <c r="F704" s="1" t="s">
        <v>17</v>
      </c>
      <c r="G704" s="4" t="str">
        <f>"08820"</f>
        <v>08820</v>
      </c>
      <c r="H704" s="1">
        <v>0</v>
      </c>
      <c r="I704" s="1">
        <v>0</v>
      </c>
      <c r="J704" s="1">
        <v>0</v>
      </c>
      <c r="K704" s="1">
        <v>132</v>
      </c>
      <c r="L704" s="1" t="s">
        <v>158</v>
      </c>
      <c r="M704" s="1" t="s">
        <v>4586</v>
      </c>
      <c r="N704" s="1" t="s">
        <v>13</v>
      </c>
      <c r="O704" s="1" t="s">
        <v>4587</v>
      </c>
    </row>
    <row r="705" spans="1:15" x14ac:dyDescent="0.4">
      <c r="A705" s="1" t="s">
        <v>4590</v>
      </c>
      <c r="B705" s="1" t="s">
        <v>4570</v>
      </c>
      <c r="C705" s="1" t="s">
        <v>4593</v>
      </c>
      <c r="D705" s="1" t="s">
        <v>4572</v>
      </c>
      <c r="E705" s="1" t="s">
        <v>4704</v>
      </c>
      <c r="F705" s="1" t="s">
        <v>17</v>
      </c>
      <c r="G705" s="4" t="str">
        <f>"08837"</f>
        <v>08837</v>
      </c>
      <c r="H705" s="1">
        <v>0</v>
      </c>
      <c r="I705" s="1">
        <v>0</v>
      </c>
      <c r="J705" s="1">
        <v>0</v>
      </c>
      <c r="K705" s="1">
        <v>89</v>
      </c>
      <c r="L705" s="1" t="s">
        <v>364</v>
      </c>
      <c r="M705" s="1" t="s">
        <v>4591</v>
      </c>
      <c r="N705" s="1" t="s">
        <v>13</v>
      </c>
      <c r="O705" s="1" t="s">
        <v>4592</v>
      </c>
    </row>
    <row r="706" spans="1:15" x14ac:dyDescent="0.4">
      <c r="A706" s="1" t="s">
        <v>1196</v>
      </c>
      <c r="B706" s="1" t="s">
        <v>1191</v>
      </c>
      <c r="C706" s="1" t="s">
        <v>1200</v>
      </c>
      <c r="D706" s="1" t="s">
        <v>1195</v>
      </c>
      <c r="E706" s="1" t="s">
        <v>8018</v>
      </c>
      <c r="F706" s="1" t="s">
        <v>17</v>
      </c>
      <c r="G706" s="4" t="str">
        <f>"07666"</f>
        <v>07666</v>
      </c>
      <c r="H706" s="1">
        <v>0</v>
      </c>
      <c r="I706" s="1">
        <v>0</v>
      </c>
      <c r="J706" s="1">
        <v>0</v>
      </c>
      <c r="K706" s="1">
        <v>46</v>
      </c>
      <c r="L706" s="1" t="s">
        <v>1197</v>
      </c>
      <c r="M706" s="1" t="s">
        <v>1198</v>
      </c>
      <c r="N706" s="1" t="s">
        <v>13</v>
      </c>
      <c r="O706" s="1" t="s">
        <v>1199</v>
      </c>
    </row>
    <row r="707" spans="1:15" x14ac:dyDescent="0.4">
      <c r="A707" s="1" t="s">
        <v>2070</v>
      </c>
      <c r="B707" s="1" t="s">
        <v>2047</v>
      </c>
      <c r="C707" s="1" t="s">
        <v>2073</v>
      </c>
      <c r="D707" s="1" t="s">
        <v>1866</v>
      </c>
      <c r="E707" s="1" t="s">
        <v>1909</v>
      </c>
      <c r="F707" s="1" t="s">
        <v>17</v>
      </c>
      <c r="G707" s="4" t="str">
        <f>"08081"</f>
        <v>08081</v>
      </c>
      <c r="H707" s="1">
        <v>1</v>
      </c>
      <c r="I707" s="1">
        <v>0.2</v>
      </c>
      <c r="J707" s="1">
        <v>0</v>
      </c>
      <c r="K707" s="1">
        <v>98</v>
      </c>
      <c r="L707" s="1" t="s">
        <v>685</v>
      </c>
      <c r="M707" s="1" t="s">
        <v>2071</v>
      </c>
      <c r="N707" s="1" t="s">
        <v>13</v>
      </c>
      <c r="O707" s="1" t="s">
        <v>2072</v>
      </c>
    </row>
    <row r="708" spans="1:15" x14ac:dyDescent="0.4">
      <c r="A708" s="1" t="s">
        <v>557</v>
      </c>
      <c r="B708" s="1" t="s">
        <v>539</v>
      </c>
      <c r="C708" s="1" t="s">
        <v>560</v>
      </c>
      <c r="D708" s="1" t="s">
        <v>540</v>
      </c>
      <c r="E708" s="1" t="s">
        <v>8018</v>
      </c>
      <c r="F708" s="1" t="s">
        <v>17</v>
      </c>
      <c r="G708" s="4" t="str">
        <f>"07631"</f>
        <v>07631</v>
      </c>
      <c r="H708" s="1">
        <v>0</v>
      </c>
      <c r="I708" s="1">
        <v>0</v>
      </c>
      <c r="J708" s="1">
        <v>0</v>
      </c>
      <c r="K708" s="1">
        <v>0</v>
      </c>
      <c r="L708" s="1" t="s">
        <v>169</v>
      </c>
      <c r="M708" s="1" t="s">
        <v>558</v>
      </c>
      <c r="N708" s="1" t="s">
        <v>13</v>
      </c>
      <c r="O708" s="1" t="s">
        <v>559</v>
      </c>
    </row>
    <row r="709" spans="1:15" x14ac:dyDescent="0.4">
      <c r="A709" s="1" t="s">
        <v>1280</v>
      </c>
      <c r="B709" s="1" t="s">
        <v>1273</v>
      </c>
      <c r="C709" s="1" t="s">
        <v>1283</v>
      </c>
      <c r="D709" s="1" t="s">
        <v>1279</v>
      </c>
      <c r="E709" s="1" t="s">
        <v>8018</v>
      </c>
      <c r="F709" s="1" t="s">
        <v>17</v>
      </c>
      <c r="G709" s="4" t="str">
        <f>"07057"</f>
        <v>07057</v>
      </c>
      <c r="H709" s="1">
        <v>3</v>
      </c>
      <c r="I709" s="1">
        <v>1.2</v>
      </c>
      <c r="J709" s="1">
        <v>0</v>
      </c>
      <c r="K709" s="1">
        <v>79</v>
      </c>
      <c r="L709" s="1" t="s">
        <v>158</v>
      </c>
      <c r="M709" s="1" t="s">
        <v>1281</v>
      </c>
      <c r="N709" s="1" t="s">
        <v>13</v>
      </c>
      <c r="O709" s="1" t="s">
        <v>1282</v>
      </c>
    </row>
    <row r="710" spans="1:15" x14ac:dyDescent="0.4">
      <c r="A710" s="1" t="s">
        <v>7796</v>
      </c>
      <c r="B710" s="1" t="s">
        <v>7791</v>
      </c>
      <c r="C710" s="1" t="s">
        <v>7799</v>
      </c>
      <c r="D710" s="1" t="s">
        <v>2482</v>
      </c>
      <c r="E710" s="1" t="s">
        <v>7833</v>
      </c>
      <c r="F710" s="1" t="s">
        <v>17</v>
      </c>
      <c r="G710" s="4" t="str">
        <f>"07083"</f>
        <v>07083</v>
      </c>
      <c r="H710" s="1">
        <v>0</v>
      </c>
      <c r="I710" s="1">
        <v>0</v>
      </c>
      <c r="J710" s="1">
        <v>0</v>
      </c>
      <c r="K710" s="1">
        <v>0</v>
      </c>
      <c r="L710" s="1" t="s">
        <v>169</v>
      </c>
      <c r="M710" s="1" t="s">
        <v>7797</v>
      </c>
      <c r="N710" s="1" t="s">
        <v>13</v>
      </c>
      <c r="O710" s="1" t="s">
        <v>7798</v>
      </c>
    </row>
    <row r="711" spans="1:15" x14ac:dyDescent="0.4">
      <c r="A711" s="1" t="s">
        <v>358</v>
      </c>
      <c r="B711" s="1" t="s">
        <v>348</v>
      </c>
      <c r="C711" s="1" t="s">
        <v>362</v>
      </c>
      <c r="D711" s="1" t="s">
        <v>353</v>
      </c>
      <c r="E711" s="1" t="s">
        <v>8018</v>
      </c>
      <c r="F711" s="1" t="s">
        <v>17</v>
      </c>
      <c r="G711" s="4" t="str">
        <f>"07621"</f>
        <v>07621</v>
      </c>
      <c r="H711" s="1">
        <v>0</v>
      </c>
      <c r="I711" s="1">
        <v>0</v>
      </c>
      <c r="J711" s="1">
        <v>0</v>
      </c>
      <c r="K711" s="1">
        <v>38</v>
      </c>
      <c r="L711" s="1" t="s">
        <v>359</v>
      </c>
      <c r="M711" s="1" t="s">
        <v>360</v>
      </c>
      <c r="N711" s="1" t="s">
        <v>13</v>
      </c>
      <c r="O711" s="1" t="s">
        <v>361</v>
      </c>
    </row>
    <row r="712" spans="1:15" x14ac:dyDescent="0.4">
      <c r="A712" s="1" t="s">
        <v>358</v>
      </c>
      <c r="B712" s="1" t="s">
        <v>2999</v>
      </c>
      <c r="C712" s="1" t="s">
        <v>3015</v>
      </c>
      <c r="D712" s="1" t="s">
        <v>3011</v>
      </c>
      <c r="E712" s="1" t="s">
        <v>8018</v>
      </c>
      <c r="F712" s="1" t="s">
        <v>17</v>
      </c>
      <c r="G712" s="4" t="str">
        <f>"07006"</f>
        <v>07006</v>
      </c>
      <c r="H712" s="1">
        <v>0</v>
      </c>
      <c r="I712" s="1">
        <v>0</v>
      </c>
      <c r="J712" s="1">
        <v>0</v>
      </c>
      <c r="K712" s="1">
        <v>38</v>
      </c>
      <c r="L712" s="1" t="s">
        <v>3012</v>
      </c>
      <c r="M712" s="1" t="s">
        <v>3013</v>
      </c>
      <c r="N712" s="1" t="s">
        <v>13</v>
      </c>
      <c r="O712" s="1" t="s">
        <v>3014</v>
      </c>
    </row>
    <row r="713" spans="1:15" x14ac:dyDescent="0.4">
      <c r="A713" s="1" t="s">
        <v>358</v>
      </c>
      <c r="B713" s="1" t="s">
        <v>3999</v>
      </c>
      <c r="C713" s="1" t="s">
        <v>4012</v>
      </c>
      <c r="D713" s="1" t="s">
        <v>4009</v>
      </c>
      <c r="E713" s="1" t="s">
        <v>8018</v>
      </c>
      <c r="F713" s="1" t="s">
        <v>17</v>
      </c>
      <c r="G713" s="4" t="str">
        <f>"07087"</f>
        <v>07087</v>
      </c>
      <c r="H713" s="1">
        <v>0</v>
      </c>
      <c r="I713" s="1">
        <v>0</v>
      </c>
      <c r="J713" s="1">
        <v>0</v>
      </c>
      <c r="K713" s="1">
        <v>38</v>
      </c>
      <c r="L713" s="1" t="s">
        <v>158</v>
      </c>
      <c r="M713" s="1" t="s">
        <v>4010</v>
      </c>
      <c r="N713" s="1" t="s">
        <v>13</v>
      </c>
      <c r="O713" s="1" t="s">
        <v>4011</v>
      </c>
    </row>
    <row r="714" spans="1:15" x14ac:dyDescent="0.4">
      <c r="A714" s="1" t="s">
        <v>358</v>
      </c>
      <c r="B714" s="1" t="s">
        <v>6141</v>
      </c>
      <c r="C714" s="1" t="s">
        <v>6148</v>
      </c>
      <c r="D714" s="1" t="s">
        <v>6145</v>
      </c>
      <c r="E714" s="1" t="s">
        <v>8018</v>
      </c>
      <c r="F714" s="1" t="s">
        <v>17</v>
      </c>
      <c r="G714" s="4" t="str">
        <f>"07876"</f>
        <v>07876</v>
      </c>
      <c r="H714" s="1">
        <v>0</v>
      </c>
      <c r="I714" s="1">
        <v>0</v>
      </c>
      <c r="J714" s="1">
        <v>0</v>
      </c>
      <c r="K714" s="1">
        <v>38</v>
      </c>
      <c r="L714" s="1" t="s">
        <v>197</v>
      </c>
      <c r="M714" s="1" t="s">
        <v>6146</v>
      </c>
      <c r="N714" s="1" t="s">
        <v>13</v>
      </c>
      <c r="O714" s="1" t="s">
        <v>6147</v>
      </c>
    </row>
    <row r="715" spans="1:15" x14ac:dyDescent="0.4">
      <c r="A715" s="1" t="s">
        <v>358</v>
      </c>
      <c r="B715" s="1" t="s">
        <v>7630</v>
      </c>
      <c r="C715" s="1" t="s">
        <v>7669</v>
      </c>
      <c r="D715" s="1" t="s">
        <v>2763</v>
      </c>
      <c r="E715" s="1" t="s">
        <v>8018</v>
      </c>
      <c r="F715" s="1" t="s">
        <v>17</v>
      </c>
      <c r="G715" s="4" t="str">
        <f>"07063"</f>
        <v>07063</v>
      </c>
      <c r="H715" s="1">
        <v>0</v>
      </c>
      <c r="I715" s="1">
        <v>0</v>
      </c>
      <c r="J715" s="1">
        <v>0</v>
      </c>
      <c r="K715" s="1">
        <v>38</v>
      </c>
      <c r="L715" s="1" t="s">
        <v>7666</v>
      </c>
      <c r="M715" s="1" t="s">
        <v>7667</v>
      </c>
      <c r="N715" s="1" t="s">
        <v>13</v>
      </c>
      <c r="O715" s="1" t="s">
        <v>7668</v>
      </c>
    </row>
    <row r="716" spans="1:15" x14ac:dyDescent="0.4">
      <c r="A716" s="1" t="s">
        <v>358</v>
      </c>
      <c r="B716" s="1" t="s">
        <v>7766</v>
      </c>
      <c r="C716" s="1" t="s">
        <v>7775</v>
      </c>
      <c r="D716" s="1" t="s">
        <v>7771</v>
      </c>
      <c r="E716" s="1" t="s">
        <v>8018</v>
      </c>
      <c r="F716" s="1" t="s">
        <v>17</v>
      </c>
      <c r="G716" s="4" t="str">
        <f>"07901-3823"</f>
        <v>07901-3823</v>
      </c>
      <c r="H716" s="1">
        <v>0</v>
      </c>
      <c r="I716" s="1">
        <v>0</v>
      </c>
      <c r="J716" s="1">
        <v>0</v>
      </c>
      <c r="K716" s="1">
        <v>38</v>
      </c>
      <c r="L716" s="1" t="s">
        <v>7772</v>
      </c>
      <c r="M716" s="1" t="s">
        <v>7773</v>
      </c>
      <c r="N716" s="1" t="s">
        <v>13</v>
      </c>
      <c r="O716" s="1" t="s">
        <v>7774</v>
      </c>
    </row>
    <row r="717" spans="1:15" x14ac:dyDescent="0.4">
      <c r="A717" s="1" t="s">
        <v>358</v>
      </c>
      <c r="B717" s="1" t="s">
        <v>7862</v>
      </c>
      <c r="C717" s="1" t="s">
        <v>7865</v>
      </c>
      <c r="D717" s="1" t="s">
        <v>7828</v>
      </c>
      <c r="E717" s="1" t="s">
        <v>8018</v>
      </c>
      <c r="F717" s="1" t="s">
        <v>17</v>
      </c>
      <c r="G717" s="4" t="str">
        <f>"07090-2726"</f>
        <v>07090-2726</v>
      </c>
      <c r="H717" s="1">
        <v>0</v>
      </c>
      <c r="I717" s="1">
        <v>0</v>
      </c>
      <c r="J717" s="1">
        <v>0</v>
      </c>
      <c r="K717" s="1">
        <v>38</v>
      </c>
      <c r="L717" s="1" t="s">
        <v>1214</v>
      </c>
      <c r="M717" s="1" t="s">
        <v>7863</v>
      </c>
      <c r="N717" s="1" t="s">
        <v>13</v>
      </c>
      <c r="O717" s="1" t="s">
        <v>7864</v>
      </c>
    </row>
    <row r="718" spans="1:15" x14ac:dyDescent="0.4">
      <c r="A718" s="1" t="s">
        <v>788</v>
      </c>
      <c r="B718" s="1" t="s">
        <v>777</v>
      </c>
      <c r="C718" s="1" t="s">
        <v>791</v>
      </c>
      <c r="D718" s="1" t="s">
        <v>780</v>
      </c>
      <c r="E718" s="1" t="s">
        <v>8018</v>
      </c>
      <c r="F718" s="1" t="s">
        <v>17</v>
      </c>
      <c r="G718" s="4" t="str">
        <f>"07071-1416"</f>
        <v>07071-1416</v>
      </c>
      <c r="H718" s="1">
        <v>0</v>
      </c>
      <c r="I718" s="1">
        <v>0</v>
      </c>
      <c r="J718" s="1">
        <v>0</v>
      </c>
      <c r="K718" s="1">
        <v>0</v>
      </c>
      <c r="L718" s="1" t="s">
        <v>62</v>
      </c>
      <c r="M718" s="1" t="s">
        <v>789</v>
      </c>
      <c r="N718" s="1" t="s">
        <v>13</v>
      </c>
      <c r="O718" s="1" t="s">
        <v>790</v>
      </c>
    </row>
    <row r="719" spans="1:15" x14ac:dyDescent="0.4">
      <c r="A719" s="1" t="s">
        <v>5820</v>
      </c>
      <c r="B719" s="1" t="s">
        <v>5813</v>
      </c>
      <c r="C719" s="1" t="s">
        <v>5823</v>
      </c>
      <c r="D719" s="1" t="s">
        <v>5819</v>
      </c>
      <c r="E719" s="1" t="s">
        <v>1503</v>
      </c>
      <c r="F719" s="1" t="s">
        <v>17</v>
      </c>
      <c r="G719" s="4" t="str">
        <f>"07438-9511"</f>
        <v>07438-9511</v>
      </c>
      <c r="H719" s="1">
        <v>0</v>
      </c>
      <c r="I719" s="1">
        <v>0</v>
      </c>
      <c r="J719" s="1">
        <v>0</v>
      </c>
      <c r="K719" s="1">
        <v>0</v>
      </c>
      <c r="L719" s="1" t="s">
        <v>11</v>
      </c>
      <c r="M719" s="1" t="s">
        <v>5821</v>
      </c>
      <c r="N719" s="1" t="s">
        <v>13</v>
      </c>
      <c r="O719" s="1" t="s">
        <v>5822</v>
      </c>
    </row>
    <row r="720" spans="1:15" x14ac:dyDescent="0.4">
      <c r="A720" s="1" t="s">
        <v>5824</v>
      </c>
      <c r="B720" s="1" t="s">
        <v>5813</v>
      </c>
      <c r="C720" s="1" t="s">
        <v>5827</v>
      </c>
      <c r="D720" s="1" t="s">
        <v>5819</v>
      </c>
      <c r="E720" s="1" t="s">
        <v>1503</v>
      </c>
      <c r="F720" s="1" t="s">
        <v>17</v>
      </c>
      <c r="G720" s="4" t="str">
        <f>"07438-9511"</f>
        <v>07438-9511</v>
      </c>
      <c r="H720" s="1">
        <v>0</v>
      </c>
      <c r="I720" s="1">
        <v>0</v>
      </c>
      <c r="J720" s="1">
        <v>0</v>
      </c>
      <c r="K720" s="1">
        <v>0</v>
      </c>
      <c r="L720" s="1" t="s">
        <v>846</v>
      </c>
      <c r="M720" s="1" t="s">
        <v>5825</v>
      </c>
      <c r="N720" s="1" t="s">
        <v>13</v>
      </c>
      <c r="O720" s="1" t="s">
        <v>5826</v>
      </c>
    </row>
    <row r="721" spans="1:15" x14ac:dyDescent="0.4">
      <c r="A721" s="1" t="s">
        <v>3603</v>
      </c>
      <c r="B721" s="1" t="s">
        <v>3602</v>
      </c>
      <c r="C721" s="1" t="s">
        <v>3606</v>
      </c>
      <c r="D721" s="1" t="s">
        <v>3607</v>
      </c>
      <c r="E721" s="1" t="s">
        <v>8020</v>
      </c>
      <c r="F721" s="1" t="s">
        <v>17</v>
      </c>
      <c r="G721" s="4" t="str">
        <f>"08056"</f>
        <v>08056</v>
      </c>
      <c r="H721" s="1">
        <v>2</v>
      </c>
      <c r="I721" s="1">
        <v>0.4</v>
      </c>
      <c r="J721" s="1">
        <v>0</v>
      </c>
      <c r="K721" s="1">
        <v>143</v>
      </c>
      <c r="L721" s="1" t="s">
        <v>18</v>
      </c>
      <c r="M721" s="1" t="s">
        <v>3604</v>
      </c>
      <c r="N721" s="1" t="s">
        <v>13</v>
      </c>
      <c r="O721" s="1" t="s">
        <v>3605</v>
      </c>
    </row>
    <row r="722" spans="1:15" x14ac:dyDescent="0.4">
      <c r="A722" s="1" t="s">
        <v>7503</v>
      </c>
      <c r="B722" s="1" t="s">
        <v>7477</v>
      </c>
      <c r="C722" s="1" t="s">
        <v>7506</v>
      </c>
      <c r="D722" s="1" t="s">
        <v>1348</v>
      </c>
      <c r="E722" s="1" t="s">
        <v>7833</v>
      </c>
      <c r="F722" s="1" t="s">
        <v>17</v>
      </c>
      <c r="G722" s="4" t="str">
        <f>"07206"</f>
        <v>07206</v>
      </c>
      <c r="H722" s="1">
        <v>0</v>
      </c>
      <c r="I722" s="1">
        <v>0</v>
      </c>
      <c r="J722" s="1">
        <v>0</v>
      </c>
      <c r="K722" s="1">
        <v>78</v>
      </c>
      <c r="L722" s="1" t="s">
        <v>439</v>
      </c>
      <c r="M722" s="1" t="s">
        <v>7504</v>
      </c>
      <c r="N722" s="1" t="s">
        <v>13</v>
      </c>
      <c r="O722" s="1" t="s">
        <v>7505</v>
      </c>
    </row>
    <row r="723" spans="1:15" x14ac:dyDescent="0.4">
      <c r="A723" s="1" t="s">
        <v>2601</v>
      </c>
      <c r="B723" s="1" t="s">
        <v>2601</v>
      </c>
      <c r="C723" s="1" t="s">
        <v>2604</v>
      </c>
      <c r="D723" s="1" t="s">
        <v>2605</v>
      </c>
      <c r="E723" s="1" t="s">
        <v>8022</v>
      </c>
      <c r="F723" s="1" t="s">
        <v>17</v>
      </c>
      <c r="G723" s="4" t="str">
        <f>"07305"</f>
        <v>07305</v>
      </c>
      <c r="H723" s="1">
        <v>0</v>
      </c>
      <c r="I723" s="1">
        <v>0</v>
      </c>
      <c r="J723" s="1">
        <v>0</v>
      </c>
      <c r="K723" s="1">
        <v>64</v>
      </c>
      <c r="L723" s="1" t="s">
        <v>2602</v>
      </c>
      <c r="M723" s="1" t="s">
        <v>39</v>
      </c>
      <c r="N723" s="1" t="s">
        <v>91</v>
      </c>
      <c r="O723" s="1" t="s">
        <v>2603</v>
      </c>
    </row>
    <row r="724" spans="1:15" x14ac:dyDescent="0.4">
      <c r="A724" s="1" t="s">
        <v>2606</v>
      </c>
      <c r="B724" s="1" t="s">
        <v>2606</v>
      </c>
      <c r="C724" s="1" t="s">
        <v>2609</v>
      </c>
      <c r="D724" s="1" t="s">
        <v>2439</v>
      </c>
      <c r="E724" s="1" t="s">
        <v>8022</v>
      </c>
      <c r="F724" s="1" t="s">
        <v>17</v>
      </c>
      <c r="G724" s="4" t="str">
        <f>"07307"</f>
        <v>07307</v>
      </c>
      <c r="H724" s="1">
        <v>0</v>
      </c>
      <c r="I724" s="1">
        <v>0</v>
      </c>
      <c r="J724" s="1">
        <v>0</v>
      </c>
      <c r="K724" s="1">
        <v>69</v>
      </c>
      <c r="L724" s="1" t="s">
        <v>974</v>
      </c>
      <c r="M724" s="1" t="s">
        <v>2607</v>
      </c>
      <c r="N724" s="1" t="s">
        <v>1924</v>
      </c>
      <c r="O724" s="1" t="s">
        <v>2608</v>
      </c>
    </row>
    <row r="725" spans="1:15" x14ac:dyDescent="0.4">
      <c r="A725" s="1" t="s">
        <v>1299</v>
      </c>
      <c r="B725" s="1" t="s">
        <v>1289</v>
      </c>
      <c r="C725" s="1" t="s">
        <v>1302</v>
      </c>
      <c r="D725" s="1" t="s">
        <v>1303</v>
      </c>
      <c r="E725" s="1" t="s">
        <v>8018</v>
      </c>
      <c r="F725" s="1" t="s">
        <v>17</v>
      </c>
      <c r="G725" s="4" t="str">
        <f>"07676"</f>
        <v>07676</v>
      </c>
      <c r="H725" s="1">
        <v>0</v>
      </c>
      <c r="I725" s="1">
        <v>0</v>
      </c>
      <c r="J725" s="1">
        <v>0</v>
      </c>
      <c r="K725" s="1">
        <v>44</v>
      </c>
      <c r="L725" s="1" t="s">
        <v>800</v>
      </c>
      <c r="M725" s="1" t="s">
        <v>1300</v>
      </c>
      <c r="N725" s="1" t="s">
        <v>13</v>
      </c>
      <c r="O725" s="1" t="s">
        <v>1301</v>
      </c>
    </row>
    <row r="726" spans="1:15" x14ac:dyDescent="0.4">
      <c r="A726" s="1" t="s">
        <v>1970</v>
      </c>
      <c r="B726" s="1" t="s">
        <v>1927</v>
      </c>
      <c r="C726" s="1" t="s">
        <v>1973</v>
      </c>
      <c r="D726" s="1" t="s">
        <v>1933</v>
      </c>
      <c r="E726" s="1" t="s">
        <v>1909</v>
      </c>
      <c r="F726" s="1" t="s">
        <v>17</v>
      </c>
      <c r="G726" s="4" t="str">
        <f>"08034-1599"</f>
        <v>08034-1599</v>
      </c>
      <c r="H726" s="1">
        <v>0</v>
      </c>
      <c r="I726" s="1">
        <v>0</v>
      </c>
      <c r="J726" s="1">
        <v>0</v>
      </c>
      <c r="K726" s="1">
        <v>0</v>
      </c>
      <c r="L726" s="1" t="s">
        <v>800</v>
      </c>
      <c r="M726" s="1" t="s">
        <v>1971</v>
      </c>
      <c r="N726" s="1" t="s">
        <v>13</v>
      </c>
      <c r="O726" s="1" t="s">
        <v>1972</v>
      </c>
    </row>
    <row r="727" spans="1:15" x14ac:dyDescent="0.4">
      <c r="A727" s="1" t="s">
        <v>573</v>
      </c>
      <c r="B727" s="1" t="s">
        <v>561</v>
      </c>
      <c r="C727" s="1" t="s">
        <v>577</v>
      </c>
      <c r="D727" s="1" t="s">
        <v>567</v>
      </c>
      <c r="E727" s="1" t="s">
        <v>8018</v>
      </c>
      <c r="F727" s="1" t="s">
        <v>17</v>
      </c>
      <c r="G727" s="4" t="str">
        <f>"07410-1815"</f>
        <v>07410-1815</v>
      </c>
      <c r="H727" s="1">
        <v>0</v>
      </c>
      <c r="I727" s="1">
        <v>0</v>
      </c>
      <c r="J727" s="1">
        <v>0</v>
      </c>
      <c r="K727" s="1">
        <v>41</v>
      </c>
      <c r="L727" s="1" t="s">
        <v>574</v>
      </c>
      <c r="M727" s="1" t="s">
        <v>575</v>
      </c>
      <c r="N727" s="1" t="s">
        <v>13</v>
      </c>
      <c r="O727" s="1" t="s">
        <v>576</v>
      </c>
    </row>
    <row r="728" spans="1:15" x14ac:dyDescent="0.4">
      <c r="A728" s="1" t="s">
        <v>4594</v>
      </c>
      <c r="B728" s="1" t="s">
        <v>4570</v>
      </c>
      <c r="C728" s="1" t="s">
        <v>4597</v>
      </c>
      <c r="D728" s="1" t="s">
        <v>4571</v>
      </c>
      <c r="E728" s="1" t="s">
        <v>4704</v>
      </c>
      <c r="F728" s="1" t="s">
        <v>17</v>
      </c>
      <c r="G728" s="4" t="str">
        <f>"08820"</f>
        <v>08820</v>
      </c>
      <c r="H728" s="1">
        <v>0</v>
      </c>
      <c r="I728" s="1">
        <v>0</v>
      </c>
      <c r="J728" s="1">
        <v>0</v>
      </c>
      <c r="K728" s="1">
        <v>0</v>
      </c>
      <c r="L728" s="1" t="s">
        <v>1141</v>
      </c>
      <c r="M728" s="1" t="s">
        <v>4595</v>
      </c>
      <c r="N728" s="1" t="s">
        <v>13</v>
      </c>
      <c r="O728" s="1" t="s">
        <v>4596</v>
      </c>
    </row>
    <row r="729" spans="1:15" x14ac:dyDescent="0.4">
      <c r="A729" s="1" t="s">
        <v>7507</v>
      </c>
      <c r="B729" s="1" t="s">
        <v>7477</v>
      </c>
      <c r="C729" s="1" t="s">
        <v>7511</v>
      </c>
      <c r="D729" s="1" t="s">
        <v>1348</v>
      </c>
      <c r="E729" s="1" t="s">
        <v>7833</v>
      </c>
      <c r="F729" s="1" t="s">
        <v>17</v>
      </c>
      <c r="G729" s="4" t="str">
        <f>"07202"</f>
        <v>07202</v>
      </c>
      <c r="H729" s="1">
        <v>0</v>
      </c>
      <c r="I729" s="1">
        <v>0</v>
      </c>
      <c r="J729" s="1">
        <v>0</v>
      </c>
      <c r="K729" s="1">
        <v>0</v>
      </c>
      <c r="L729" s="1" t="s">
        <v>7508</v>
      </c>
      <c r="M729" s="1" t="s">
        <v>7509</v>
      </c>
      <c r="N729" s="1" t="s">
        <v>13</v>
      </c>
      <c r="O729" s="1" t="s">
        <v>7510</v>
      </c>
    </row>
    <row r="730" spans="1:15" x14ac:dyDescent="0.4">
      <c r="A730" s="1" t="s">
        <v>5003</v>
      </c>
      <c r="B730" s="1" t="s">
        <v>4998</v>
      </c>
      <c r="C730" s="1" t="s">
        <v>5006</v>
      </c>
      <c r="D730" s="1" t="s">
        <v>5007</v>
      </c>
      <c r="E730" s="1" t="s">
        <v>4704</v>
      </c>
      <c r="F730" s="1" t="s">
        <v>17</v>
      </c>
      <c r="G730" s="4" t="str">
        <f>"07080"</f>
        <v>07080</v>
      </c>
      <c r="H730" s="1">
        <v>0</v>
      </c>
      <c r="I730" s="1">
        <v>0</v>
      </c>
      <c r="J730" s="1">
        <v>0</v>
      </c>
      <c r="K730" s="1">
        <v>69</v>
      </c>
      <c r="L730" s="1" t="s">
        <v>997</v>
      </c>
      <c r="M730" s="1" t="s">
        <v>5004</v>
      </c>
      <c r="N730" s="1" t="s">
        <v>13</v>
      </c>
      <c r="O730" s="1" t="s">
        <v>5005</v>
      </c>
    </row>
    <row r="731" spans="1:15" x14ac:dyDescent="0.4">
      <c r="A731" s="1" t="s">
        <v>6711</v>
      </c>
      <c r="B731" s="1" t="s">
        <v>6692</v>
      </c>
      <c r="C731" s="1" t="s">
        <v>6715</v>
      </c>
      <c r="D731" s="1" t="s">
        <v>2460</v>
      </c>
      <c r="E731" s="1" t="s">
        <v>2670</v>
      </c>
      <c r="F731" s="1" t="s">
        <v>17</v>
      </c>
      <c r="G731" s="4" t="str">
        <f>"07502"</f>
        <v>07502</v>
      </c>
      <c r="H731" s="1">
        <v>0</v>
      </c>
      <c r="I731" s="1">
        <v>0</v>
      </c>
      <c r="J731" s="1">
        <v>0</v>
      </c>
      <c r="K731" s="1">
        <v>0</v>
      </c>
      <c r="L731" s="1" t="s">
        <v>6712</v>
      </c>
      <c r="M731" s="1" t="s">
        <v>6713</v>
      </c>
      <c r="N731" s="1" t="s">
        <v>13</v>
      </c>
      <c r="O731" s="1" t="s">
        <v>6714</v>
      </c>
    </row>
    <row r="732" spans="1:15" x14ac:dyDescent="0.4">
      <c r="A732" s="1" t="s">
        <v>5081</v>
      </c>
      <c r="B732" s="1" t="s">
        <v>5044</v>
      </c>
      <c r="C732" s="1" t="s">
        <v>5084</v>
      </c>
      <c r="D732" s="1" t="s">
        <v>5076</v>
      </c>
      <c r="E732" s="1" t="s">
        <v>4704</v>
      </c>
      <c r="F732" s="1" t="s">
        <v>17</v>
      </c>
      <c r="G732" s="4" t="str">
        <f>"08830"</f>
        <v>08830</v>
      </c>
      <c r="H732" s="1">
        <v>0</v>
      </c>
      <c r="I732" s="1">
        <v>0</v>
      </c>
      <c r="J732" s="1">
        <v>0</v>
      </c>
      <c r="K732" s="1">
        <v>0</v>
      </c>
      <c r="L732" s="1" t="s">
        <v>34</v>
      </c>
      <c r="M732" s="1" t="s">
        <v>5082</v>
      </c>
      <c r="N732" s="1" t="s">
        <v>13</v>
      </c>
      <c r="O732" s="1" t="s">
        <v>5083</v>
      </c>
    </row>
    <row r="733" spans="1:15" x14ac:dyDescent="0.4">
      <c r="A733" s="1" t="s">
        <v>7124</v>
      </c>
      <c r="B733" s="1" t="s">
        <v>7093</v>
      </c>
      <c r="C733" s="1" t="s">
        <v>7127</v>
      </c>
      <c r="D733" s="1" t="s">
        <v>7128</v>
      </c>
      <c r="E733" s="1" t="s">
        <v>2471</v>
      </c>
      <c r="F733" s="1" t="s">
        <v>17</v>
      </c>
      <c r="G733" s="4" t="str">
        <f>"08869"</f>
        <v>08869</v>
      </c>
      <c r="H733" s="1">
        <v>0</v>
      </c>
      <c r="I733" s="1">
        <v>0</v>
      </c>
      <c r="J733" s="1">
        <v>63</v>
      </c>
      <c r="K733" s="1">
        <v>0</v>
      </c>
      <c r="L733" s="1" t="s">
        <v>7125</v>
      </c>
      <c r="M733" s="1" t="s">
        <v>883</v>
      </c>
      <c r="N733" s="1" t="s">
        <v>13</v>
      </c>
      <c r="O733" s="1" t="s">
        <v>7126</v>
      </c>
    </row>
    <row r="734" spans="1:15" x14ac:dyDescent="0.4">
      <c r="A734" s="1" t="s">
        <v>3297</v>
      </c>
      <c r="B734" s="1" t="s">
        <v>3249</v>
      </c>
      <c r="C734" s="1" t="s">
        <v>3300</v>
      </c>
      <c r="D734" s="1" t="s">
        <v>2526</v>
      </c>
      <c r="E734" s="1" t="s">
        <v>8024</v>
      </c>
      <c r="F734" s="1" t="s">
        <v>17</v>
      </c>
      <c r="G734" s="4" t="str">
        <f>"07103-2114"</f>
        <v>07103-2114</v>
      </c>
      <c r="H734" s="1">
        <v>0</v>
      </c>
      <c r="I734" s="1">
        <v>0</v>
      </c>
      <c r="J734" s="1">
        <v>0</v>
      </c>
      <c r="K734" s="1">
        <v>0</v>
      </c>
      <c r="L734" s="1" t="s">
        <v>407</v>
      </c>
      <c r="M734" s="1" t="s">
        <v>3298</v>
      </c>
      <c r="N734" s="1" t="s">
        <v>13</v>
      </c>
      <c r="O734" s="1" t="s">
        <v>3299</v>
      </c>
    </row>
    <row r="735" spans="1:15" x14ac:dyDescent="0.4">
      <c r="A735" s="1" t="s">
        <v>1201</v>
      </c>
      <c r="B735" s="1" t="s">
        <v>1191</v>
      </c>
      <c r="C735" s="1" t="s">
        <v>1204</v>
      </c>
      <c r="D735" s="1" t="s">
        <v>1195</v>
      </c>
      <c r="E735" s="1" t="s">
        <v>8018</v>
      </c>
      <c r="F735" s="1" t="s">
        <v>17</v>
      </c>
      <c r="G735" s="4" t="str">
        <f>"07666"</f>
        <v>07666</v>
      </c>
      <c r="H735" s="1">
        <v>0</v>
      </c>
      <c r="I735" s="1">
        <v>0</v>
      </c>
      <c r="J735" s="1">
        <v>0</v>
      </c>
      <c r="K735" s="1">
        <v>42</v>
      </c>
      <c r="L735" s="1" t="s">
        <v>189</v>
      </c>
      <c r="M735" s="1" t="s">
        <v>1202</v>
      </c>
      <c r="N735" s="1" t="s">
        <v>13</v>
      </c>
      <c r="O735" s="1" t="s">
        <v>1203</v>
      </c>
    </row>
    <row r="736" spans="1:15" x14ac:dyDescent="0.4">
      <c r="A736" s="1" t="s">
        <v>3369</v>
      </c>
      <c r="B736" s="1" t="s">
        <v>3368</v>
      </c>
      <c r="C736" s="1" t="s">
        <v>3373</v>
      </c>
      <c r="D736" s="1" t="s">
        <v>3374</v>
      </c>
      <c r="E736" s="1" t="s">
        <v>8024</v>
      </c>
      <c r="F736" s="1" t="s">
        <v>17</v>
      </c>
      <c r="G736" s="4" t="str">
        <f>"07110-2735"</f>
        <v>07110-2735</v>
      </c>
      <c r="H736" s="1">
        <v>0</v>
      </c>
      <c r="I736" s="1">
        <v>0</v>
      </c>
      <c r="J736" s="1">
        <v>0</v>
      </c>
      <c r="K736" s="1">
        <v>0</v>
      </c>
      <c r="L736" s="1" t="s">
        <v>3370</v>
      </c>
      <c r="M736" s="1" t="s">
        <v>3371</v>
      </c>
      <c r="N736" s="1" t="s">
        <v>13</v>
      </c>
      <c r="O736" s="1" t="s">
        <v>3372</v>
      </c>
    </row>
    <row r="737" spans="1:15" x14ac:dyDescent="0.4">
      <c r="A737" s="1" t="s">
        <v>2901</v>
      </c>
      <c r="B737" s="1" t="s">
        <v>2878</v>
      </c>
      <c r="C737" s="1" t="s">
        <v>2904</v>
      </c>
      <c r="D737" s="1" t="s">
        <v>2796</v>
      </c>
      <c r="E737" s="1" t="s">
        <v>8023</v>
      </c>
      <c r="F737" s="1" t="s">
        <v>17</v>
      </c>
      <c r="G737" s="4" t="str">
        <f>"08360-6578"</f>
        <v>08360-6578</v>
      </c>
      <c r="H737" s="1">
        <v>0</v>
      </c>
      <c r="I737" s="1">
        <v>0</v>
      </c>
      <c r="J737" s="1">
        <v>0</v>
      </c>
      <c r="K737" s="1">
        <v>85</v>
      </c>
      <c r="L737" s="1" t="s">
        <v>2707</v>
      </c>
      <c r="M737" s="1" t="s">
        <v>2902</v>
      </c>
      <c r="N737" s="1" t="s">
        <v>13</v>
      </c>
      <c r="O737" s="1" t="s">
        <v>2903</v>
      </c>
    </row>
    <row r="738" spans="1:15" x14ac:dyDescent="0.4">
      <c r="A738" s="1" t="s">
        <v>3046</v>
      </c>
      <c r="B738" s="1" t="s">
        <v>3031</v>
      </c>
      <c r="C738" s="1" t="s">
        <v>3050</v>
      </c>
      <c r="D738" s="1" t="s">
        <v>2536</v>
      </c>
      <c r="E738" s="1" t="s">
        <v>8024</v>
      </c>
      <c r="F738" s="1" t="s">
        <v>17</v>
      </c>
      <c r="G738" s="4" t="str">
        <f>"07017-2912"</f>
        <v>07017-2912</v>
      </c>
      <c r="H738" s="1">
        <v>0</v>
      </c>
      <c r="I738" s="1">
        <v>0</v>
      </c>
      <c r="J738" s="1">
        <v>0</v>
      </c>
      <c r="K738" s="1">
        <v>0</v>
      </c>
      <c r="L738" s="1" t="s">
        <v>3047</v>
      </c>
      <c r="M738" s="1" t="s">
        <v>3048</v>
      </c>
      <c r="N738" s="1" t="s">
        <v>13</v>
      </c>
      <c r="O738" s="1" t="s">
        <v>3049</v>
      </c>
    </row>
    <row r="739" spans="1:15" x14ac:dyDescent="0.4">
      <c r="A739" s="1" t="s">
        <v>7512</v>
      </c>
      <c r="B739" s="1" t="s">
        <v>7477</v>
      </c>
      <c r="C739" s="1" t="s">
        <v>7516</v>
      </c>
      <c r="D739" s="1" t="s">
        <v>3890</v>
      </c>
      <c r="E739" s="1" t="s">
        <v>7833</v>
      </c>
      <c r="F739" s="1" t="s">
        <v>17</v>
      </c>
      <c r="G739" s="4" t="str">
        <f>"07206-1406"</f>
        <v>07206-1406</v>
      </c>
      <c r="H739" s="1">
        <v>0</v>
      </c>
      <c r="I739" s="1">
        <v>0</v>
      </c>
      <c r="J739" s="1">
        <v>0</v>
      </c>
      <c r="K739" s="1">
        <v>62</v>
      </c>
      <c r="L739" s="1" t="s">
        <v>7513</v>
      </c>
      <c r="M739" s="1" t="s">
        <v>7514</v>
      </c>
      <c r="N739" s="1" t="s">
        <v>13</v>
      </c>
      <c r="O739" s="1" t="s">
        <v>7515</v>
      </c>
    </row>
    <row r="740" spans="1:15" x14ac:dyDescent="0.4">
      <c r="A740" s="1" t="s">
        <v>4598</v>
      </c>
      <c r="B740" s="1" t="s">
        <v>4570</v>
      </c>
      <c r="C740" s="1" t="s">
        <v>4601</v>
      </c>
      <c r="D740" s="1" t="s">
        <v>4571</v>
      </c>
      <c r="E740" s="1" t="s">
        <v>4704</v>
      </c>
      <c r="F740" s="1" t="s">
        <v>17</v>
      </c>
      <c r="G740" s="4" t="str">
        <f>"08817"</f>
        <v>08817</v>
      </c>
      <c r="H740" s="1">
        <v>0</v>
      </c>
      <c r="I740" s="1">
        <v>0</v>
      </c>
      <c r="J740" s="1">
        <v>0</v>
      </c>
      <c r="K740" s="1">
        <v>123</v>
      </c>
      <c r="L740" s="1" t="s">
        <v>4599</v>
      </c>
      <c r="M740" s="1" t="s">
        <v>271</v>
      </c>
      <c r="N740" s="1" t="s">
        <v>13</v>
      </c>
      <c r="O740" s="1" t="s">
        <v>4600</v>
      </c>
    </row>
    <row r="741" spans="1:15" x14ac:dyDescent="0.4">
      <c r="A741" s="1" t="s">
        <v>4602</v>
      </c>
      <c r="B741" s="1" t="s">
        <v>4570</v>
      </c>
      <c r="C741" s="1" t="s">
        <v>4605</v>
      </c>
      <c r="D741" s="1" t="s">
        <v>4571</v>
      </c>
      <c r="E741" s="1" t="s">
        <v>4704</v>
      </c>
      <c r="F741" s="1" t="s">
        <v>17</v>
      </c>
      <c r="G741" s="4" t="str">
        <f>"08820"</f>
        <v>08820</v>
      </c>
      <c r="H741" s="1">
        <v>0</v>
      </c>
      <c r="I741" s="1">
        <v>0</v>
      </c>
      <c r="J741" s="1">
        <v>0</v>
      </c>
      <c r="K741" s="1">
        <v>0</v>
      </c>
      <c r="L741" s="1" t="s">
        <v>4603</v>
      </c>
      <c r="M741" s="1" t="s">
        <v>1761</v>
      </c>
      <c r="N741" s="1" t="s">
        <v>13</v>
      </c>
      <c r="O741" s="1" t="s">
        <v>4604</v>
      </c>
    </row>
    <row r="742" spans="1:15" x14ac:dyDescent="0.4">
      <c r="A742" s="1" t="s">
        <v>1023</v>
      </c>
      <c r="B742" s="1" t="s">
        <v>1017</v>
      </c>
      <c r="C742" s="1" t="s">
        <v>1026</v>
      </c>
      <c r="D742" s="1" t="s">
        <v>1022</v>
      </c>
      <c r="E742" s="1" t="s">
        <v>8018</v>
      </c>
      <c r="F742" s="1" t="s">
        <v>17</v>
      </c>
      <c r="G742" s="4" t="str">
        <f>"07446-1833"</f>
        <v>07446-1833</v>
      </c>
      <c r="H742" s="1">
        <v>0</v>
      </c>
      <c r="I742" s="1">
        <v>0</v>
      </c>
      <c r="J742" s="1">
        <v>0</v>
      </c>
      <c r="K742" s="1">
        <v>0</v>
      </c>
      <c r="L742" s="1" t="s">
        <v>38</v>
      </c>
      <c r="M742" s="1" t="s">
        <v>1024</v>
      </c>
      <c r="N742" s="1" t="s">
        <v>13</v>
      </c>
      <c r="O742" s="1" t="s">
        <v>1025</v>
      </c>
    </row>
    <row r="743" spans="1:15" x14ac:dyDescent="0.4">
      <c r="A743" s="1" t="s">
        <v>4821</v>
      </c>
      <c r="B743" s="1" t="s">
        <v>4808</v>
      </c>
      <c r="C743" s="1" t="s">
        <v>4824</v>
      </c>
      <c r="D743" s="1" t="s">
        <v>4813</v>
      </c>
      <c r="E743" s="1" t="s">
        <v>4704</v>
      </c>
      <c r="F743" s="1" t="s">
        <v>17</v>
      </c>
      <c r="G743" s="4" t="str">
        <f>"08857-9625"</f>
        <v>08857-9625</v>
      </c>
      <c r="H743" s="1">
        <v>0</v>
      </c>
      <c r="I743" s="1">
        <v>0</v>
      </c>
      <c r="J743" s="1">
        <v>0</v>
      </c>
      <c r="K743" s="1">
        <v>0</v>
      </c>
      <c r="L743" s="1" t="s">
        <v>356</v>
      </c>
      <c r="M743" s="1" t="s">
        <v>4822</v>
      </c>
      <c r="N743" s="1" t="s">
        <v>13</v>
      </c>
      <c r="O743" s="1" t="s">
        <v>4823</v>
      </c>
    </row>
    <row r="744" spans="1:15" x14ac:dyDescent="0.4">
      <c r="A744" s="1" t="s">
        <v>7762</v>
      </c>
      <c r="B744" s="1" t="s">
        <v>7756</v>
      </c>
      <c r="C744" s="1" t="s">
        <v>7765</v>
      </c>
      <c r="D744" s="1" t="s">
        <v>7757</v>
      </c>
      <c r="E744" s="1" t="s">
        <v>7833</v>
      </c>
      <c r="F744" s="1" t="s">
        <v>17</v>
      </c>
      <c r="G744" s="4" t="str">
        <f>"07081"</f>
        <v>07081</v>
      </c>
      <c r="H744" s="1">
        <v>0</v>
      </c>
      <c r="I744" s="1">
        <v>0</v>
      </c>
      <c r="J744" s="1">
        <v>0</v>
      </c>
      <c r="K744" s="1">
        <v>0</v>
      </c>
      <c r="L744" s="1" t="s">
        <v>7763</v>
      </c>
      <c r="M744" s="1" t="s">
        <v>2942</v>
      </c>
      <c r="N744" s="1" t="s">
        <v>13</v>
      </c>
      <c r="O744" s="1" t="s">
        <v>7764</v>
      </c>
    </row>
    <row r="745" spans="1:15" x14ac:dyDescent="0.4">
      <c r="A745" s="1" t="s">
        <v>259</v>
      </c>
      <c r="B745" s="1" t="s">
        <v>256</v>
      </c>
      <c r="C745" s="1" t="s">
        <v>263</v>
      </c>
      <c r="D745" s="1" t="s">
        <v>257</v>
      </c>
      <c r="E745" s="1" t="s">
        <v>8017</v>
      </c>
      <c r="F745" s="1" t="s">
        <v>17</v>
      </c>
      <c r="G745" s="4" t="str">
        <f>"08244-1408"</f>
        <v>08244-1408</v>
      </c>
      <c r="H745" s="1">
        <v>0</v>
      </c>
      <c r="I745" s="1">
        <v>0</v>
      </c>
      <c r="J745" s="1">
        <v>0</v>
      </c>
      <c r="K745" s="1">
        <v>0</v>
      </c>
      <c r="L745" s="1" t="s">
        <v>260</v>
      </c>
      <c r="M745" s="1" t="s">
        <v>261</v>
      </c>
      <c r="N745" s="1" t="s">
        <v>13</v>
      </c>
      <c r="O745" s="1" t="s">
        <v>262</v>
      </c>
    </row>
    <row r="746" spans="1:15" x14ac:dyDescent="0.4">
      <c r="A746" s="1" t="s">
        <v>4013</v>
      </c>
      <c r="B746" s="1" t="s">
        <v>3999</v>
      </c>
      <c r="C746" s="1" t="s">
        <v>4017</v>
      </c>
      <c r="D746" s="1" t="s">
        <v>4009</v>
      </c>
      <c r="E746" s="1" t="s">
        <v>3646</v>
      </c>
      <c r="F746" s="1" t="s">
        <v>17</v>
      </c>
      <c r="G746" s="4" t="str">
        <f>"07087"</f>
        <v>07087</v>
      </c>
      <c r="H746" s="1">
        <v>0</v>
      </c>
      <c r="I746" s="1">
        <v>0</v>
      </c>
      <c r="J746" s="1">
        <v>0</v>
      </c>
      <c r="K746" s="1">
        <v>0</v>
      </c>
      <c r="L746" s="1" t="s">
        <v>4014</v>
      </c>
      <c r="M746" s="1" t="s">
        <v>4015</v>
      </c>
      <c r="N746" s="1" t="s">
        <v>13</v>
      </c>
      <c r="O746" s="1" t="s">
        <v>4016</v>
      </c>
    </row>
    <row r="747" spans="1:15" x14ac:dyDescent="0.4">
      <c r="A747" s="1" t="s">
        <v>6483</v>
      </c>
      <c r="B747" s="1" t="s">
        <v>6474</v>
      </c>
      <c r="C747" s="1" t="s">
        <v>6486</v>
      </c>
      <c r="D747" s="1" t="s">
        <v>6399</v>
      </c>
      <c r="E747" s="1" t="s">
        <v>8028</v>
      </c>
      <c r="F747" s="1" t="s">
        <v>17</v>
      </c>
      <c r="G747" s="4" t="str">
        <f>"08755"</f>
        <v>08755</v>
      </c>
      <c r="H747" s="1">
        <v>0</v>
      </c>
      <c r="I747" s="1">
        <v>0</v>
      </c>
      <c r="J747" s="1">
        <v>0</v>
      </c>
      <c r="K747" s="1">
        <v>50</v>
      </c>
      <c r="L747" s="1" t="s">
        <v>158</v>
      </c>
      <c r="M747" s="1" t="s">
        <v>6484</v>
      </c>
      <c r="N747" s="1" t="s">
        <v>13</v>
      </c>
      <c r="O747" s="1" t="s">
        <v>6485</v>
      </c>
    </row>
    <row r="748" spans="1:15" x14ac:dyDescent="0.4">
      <c r="A748" s="1" t="s">
        <v>6716</v>
      </c>
      <c r="B748" s="1" t="s">
        <v>6692</v>
      </c>
      <c r="C748" s="1" t="s">
        <v>6719</v>
      </c>
      <c r="D748" s="1" t="s">
        <v>2460</v>
      </c>
      <c r="E748" s="1" t="s">
        <v>2670</v>
      </c>
      <c r="F748" s="1" t="s">
        <v>17</v>
      </c>
      <c r="G748" s="4" t="str">
        <f>"07502"</f>
        <v>07502</v>
      </c>
      <c r="H748" s="1">
        <v>0</v>
      </c>
      <c r="I748" s="1">
        <v>0</v>
      </c>
      <c r="J748" s="1">
        <v>0</v>
      </c>
      <c r="K748" s="1">
        <v>0</v>
      </c>
      <c r="L748" s="1" t="s">
        <v>553</v>
      </c>
      <c r="M748" s="1" t="s">
        <v>6717</v>
      </c>
      <c r="N748" s="1" t="s">
        <v>13</v>
      </c>
      <c r="O748" s="1" t="s">
        <v>6718</v>
      </c>
    </row>
    <row r="749" spans="1:15" x14ac:dyDescent="0.4">
      <c r="A749" s="1" t="s">
        <v>5335</v>
      </c>
      <c r="B749" s="1" t="s">
        <v>5334</v>
      </c>
      <c r="C749" s="1" t="s">
        <v>5338</v>
      </c>
      <c r="D749" s="1" t="s">
        <v>5339</v>
      </c>
      <c r="E749" s="1" t="s">
        <v>8027</v>
      </c>
      <c r="F749" s="1" t="s">
        <v>17</v>
      </c>
      <c r="G749" s="4" t="str">
        <f>"07734-1596"</f>
        <v>07734-1596</v>
      </c>
      <c r="H749" s="1">
        <v>0</v>
      </c>
      <c r="I749" s="1">
        <v>0</v>
      </c>
      <c r="J749" s="1">
        <v>0</v>
      </c>
      <c r="K749" s="1">
        <v>97</v>
      </c>
      <c r="L749" s="1" t="s">
        <v>3311</v>
      </c>
      <c r="M749" s="1" t="s">
        <v>5336</v>
      </c>
      <c r="N749" s="1" t="s">
        <v>13</v>
      </c>
      <c r="O749" s="1" t="s">
        <v>5337</v>
      </c>
    </row>
    <row r="750" spans="1:15" x14ac:dyDescent="0.4">
      <c r="A750" s="1" t="s">
        <v>1974</v>
      </c>
      <c r="B750" s="1" t="s">
        <v>1927</v>
      </c>
      <c r="C750" s="1" t="s">
        <v>1978</v>
      </c>
      <c r="D750" s="1" t="s">
        <v>1933</v>
      </c>
      <c r="E750" s="1" t="s">
        <v>1909</v>
      </c>
      <c r="F750" s="1" t="s">
        <v>17</v>
      </c>
      <c r="G750" s="4" t="str">
        <f>"08003-1299"</f>
        <v>08003-1299</v>
      </c>
      <c r="H750" s="1">
        <v>0</v>
      </c>
      <c r="I750" s="1">
        <v>0</v>
      </c>
      <c r="J750" s="1">
        <v>0</v>
      </c>
      <c r="K750" s="1">
        <v>66</v>
      </c>
      <c r="L750" s="1" t="s">
        <v>1975</v>
      </c>
      <c r="M750" s="1" t="s">
        <v>1976</v>
      </c>
      <c r="N750" s="1" t="s">
        <v>13</v>
      </c>
      <c r="O750" s="1" t="s">
        <v>1977</v>
      </c>
    </row>
    <row r="751" spans="1:15" x14ac:dyDescent="0.4">
      <c r="A751" s="1" t="s">
        <v>7589</v>
      </c>
      <c r="B751" s="1" t="s">
        <v>7588</v>
      </c>
      <c r="C751" s="1" t="s">
        <v>7591</v>
      </c>
      <c r="D751" s="1" t="s">
        <v>7592</v>
      </c>
      <c r="E751" s="1" t="s">
        <v>7833</v>
      </c>
      <c r="F751" s="1" t="s">
        <v>17</v>
      </c>
      <c r="G751" s="4" t="str">
        <f>"07036-5320"</f>
        <v>07036-5320</v>
      </c>
      <c r="H751" s="1">
        <v>0</v>
      </c>
      <c r="I751" s="1">
        <v>0</v>
      </c>
      <c r="J751" s="1">
        <v>0</v>
      </c>
      <c r="K751" s="1">
        <v>0</v>
      </c>
      <c r="L751" s="1" t="s">
        <v>7021</v>
      </c>
      <c r="M751" s="1" t="s">
        <v>1486</v>
      </c>
      <c r="N751" s="1" t="s">
        <v>13</v>
      </c>
      <c r="O751" s="1" t="s">
        <v>7590</v>
      </c>
    </row>
    <row r="752" spans="1:15" x14ac:dyDescent="0.4">
      <c r="A752" s="1" t="s">
        <v>3855</v>
      </c>
      <c r="B752" s="1" t="s">
        <v>3846</v>
      </c>
      <c r="C752" s="1" t="s">
        <v>3858</v>
      </c>
      <c r="D752" s="1" t="s">
        <v>2542</v>
      </c>
      <c r="E752" s="1" t="s">
        <v>3646</v>
      </c>
      <c r="F752" s="1" t="s">
        <v>17</v>
      </c>
      <c r="G752" s="4" t="str">
        <f>"07030"</f>
        <v>07030</v>
      </c>
      <c r="H752" s="1">
        <v>0</v>
      </c>
      <c r="I752" s="1">
        <v>0</v>
      </c>
      <c r="J752" s="1">
        <v>0</v>
      </c>
      <c r="K752" s="1">
        <v>132</v>
      </c>
      <c r="L752" s="1" t="s">
        <v>665</v>
      </c>
      <c r="M752" s="1" t="s">
        <v>3856</v>
      </c>
      <c r="N752" s="1" t="s">
        <v>13</v>
      </c>
      <c r="O752" s="1" t="s">
        <v>3857</v>
      </c>
    </row>
    <row r="753" spans="1:15" x14ac:dyDescent="0.4">
      <c r="A753" s="1" t="s">
        <v>3926</v>
      </c>
      <c r="B753" s="1" t="s">
        <v>3883</v>
      </c>
      <c r="C753" s="1" t="s">
        <v>3928</v>
      </c>
      <c r="D753" s="1" t="s">
        <v>2605</v>
      </c>
      <c r="E753" s="1" t="s">
        <v>3646</v>
      </c>
      <c r="F753" s="1" t="s">
        <v>17</v>
      </c>
      <c r="G753" s="4" t="str">
        <f>"07304"</f>
        <v>07304</v>
      </c>
      <c r="H753" s="1">
        <v>0</v>
      </c>
      <c r="I753" s="1">
        <v>0</v>
      </c>
      <c r="J753" s="1">
        <v>0</v>
      </c>
      <c r="K753" s="1">
        <v>102</v>
      </c>
      <c r="L753" s="1" t="s">
        <v>306</v>
      </c>
      <c r="M753" s="1" t="s">
        <v>2696</v>
      </c>
      <c r="N753" s="1" t="s">
        <v>13</v>
      </c>
      <c r="O753" s="1" t="s">
        <v>3927</v>
      </c>
    </row>
    <row r="754" spans="1:15" x14ac:dyDescent="0.4">
      <c r="A754" s="1" t="s">
        <v>5239</v>
      </c>
      <c r="B754" s="1" t="s">
        <v>5225</v>
      </c>
      <c r="C754" s="1" t="s">
        <v>5242</v>
      </c>
      <c r="D754" s="1" t="s">
        <v>5198</v>
      </c>
      <c r="E754" s="1" t="s">
        <v>8027</v>
      </c>
      <c r="F754" s="1" t="s">
        <v>17</v>
      </c>
      <c r="G754" s="4" t="str">
        <f>"07728-1598"</f>
        <v>07728-1598</v>
      </c>
      <c r="H754" s="1">
        <v>0</v>
      </c>
      <c r="I754" s="1">
        <v>0</v>
      </c>
      <c r="J754" s="1">
        <v>0</v>
      </c>
      <c r="K754" s="1">
        <v>83</v>
      </c>
      <c r="L754" s="1" t="s">
        <v>1492</v>
      </c>
      <c r="M754" s="1" t="s">
        <v>5240</v>
      </c>
      <c r="N754" s="1" t="s">
        <v>13</v>
      </c>
      <c r="O754" s="1" t="s">
        <v>5241</v>
      </c>
    </row>
    <row r="755" spans="1:15" x14ac:dyDescent="0.4">
      <c r="A755" s="1" t="s">
        <v>5340</v>
      </c>
      <c r="B755" s="1" t="s">
        <v>5334</v>
      </c>
      <c r="C755" s="1" t="s">
        <v>5343</v>
      </c>
      <c r="D755" s="1" t="s">
        <v>5339</v>
      </c>
      <c r="E755" s="1" t="s">
        <v>8027</v>
      </c>
      <c r="F755" s="1" t="s">
        <v>17</v>
      </c>
      <c r="G755" s="4" t="str">
        <f>"07734-2056"</f>
        <v>07734-2056</v>
      </c>
      <c r="H755" s="1">
        <v>0</v>
      </c>
      <c r="I755" s="1">
        <v>0</v>
      </c>
      <c r="J755" s="1">
        <v>0</v>
      </c>
      <c r="K755" s="1">
        <v>0</v>
      </c>
      <c r="L755" s="1" t="s">
        <v>62</v>
      </c>
      <c r="M755" s="1" t="s">
        <v>5341</v>
      </c>
      <c r="N755" s="1" t="s">
        <v>13</v>
      </c>
      <c r="O755" s="1" t="s">
        <v>5342</v>
      </c>
    </row>
    <row r="756" spans="1:15" x14ac:dyDescent="0.4">
      <c r="A756" s="1" t="s">
        <v>1683</v>
      </c>
      <c r="B756" s="1" t="s">
        <v>1666</v>
      </c>
      <c r="C756" s="1" t="s">
        <v>1687</v>
      </c>
      <c r="D756" s="1" t="s">
        <v>1688</v>
      </c>
      <c r="E756" s="1" t="s">
        <v>8019</v>
      </c>
      <c r="F756" s="1" t="s">
        <v>17</v>
      </c>
      <c r="G756" s="4" t="str">
        <f>"08015"</f>
        <v>08015</v>
      </c>
      <c r="H756" s="1">
        <v>0</v>
      </c>
      <c r="I756" s="1">
        <v>0</v>
      </c>
      <c r="J756" s="1">
        <v>0</v>
      </c>
      <c r="K756" s="1">
        <v>85</v>
      </c>
      <c r="L756" s="1" t="s">
        <v>1684</v>
      </c>
      <c r="M756" s="1" t="s">
        <v>1685</v>
      </c>
      <c r="N756" s="1" t="s">
        <v>13</v>
      </c>
      <c r="O756" s="1" t="s">
        <v>1686</v>
      </c>
    </row>
    <row r="757" spans="1:15" x14ac:dyDescent="0.4">
      <c r="A757" s="1" t="s">
        <v>4450</v>
      </c>
      <c r="B757" s="1" t="s">
        <v>4393</v>
      </c>
      <c r="C757" s="1" t="s">
        <v>4453</v>
      </c>
      <c r="D757" s="1" t="s">
        <v>2427</v>
      </c>
      <c r="E757" s="1" t="s">
        <v>8026</v>
      </c>
      <c r="F757" s="1" t="s">
        <v>17</v>
      </c>
      <c r="G757" s="4" t="str">
        <f>"08618"</f>
        <v>08618</v>
      </c>
      <c r="H757" s="1">
        <v>0</v>
      </c>
      <c r="I757" s="1">
        <v>0</v>
      </c>
      <c r="J757" s="1">
        <v>0</v>
      </c>
      <c r="K757" s="1">
        <v>78</v>
      </c>
      <c r="L757" s="1" t="s">
        <v>563</v>
      </c>
      <c r="M757" s="1" t="s">
        <v>4451</v>
      </c>
      <c r="N757" s="1" t="s">
        <v>13</v>
      </c>
      <c r="O757" s="1" t="s">
        <v>4452</v>
      </c>
    </row>
    <row r="758" spans="1:15" x14ac:dyDescent="0.4">
      <c r="A758" s="1" t="s">
        <v>6211</v>
      </c>
      <c r="B758" s="1" t="s">
        <v>6201</v>
      </c>
      <c r="C758" s="1" t="s">
        <v>6214</v>
      </c>
      <c r="D758" s="1" t="s">
        <v>6206</v>
      </c>
      <c r="E758" s="1" t="s">
        <v>8028</v>
      </c>
      <c r="F758" s="1" t="s">
        <v>17</v>
      </c>
      <c r="G758" s="4" t="str">
        <f>"08005"</f>
        <v>08005</v>
      </c>
      <c r="H758" s="1">
        <v>0</v>
      </c>
      <c r="I758" s="1">
        <v>0</v>
      </c>
      <c r="J758" s="1">
        <v>0</v>
      </c>
      <c r="K758" s="1">
        <v>0</v>
      </c>
      <c r="L758" s="1" t="s">
        <v>483</v>
      </c>
      <c r="M758" s="1" t="s">
        <v>6212</v>
      </c>
      <c r="N758" s="1" t="s">
        <v>13</v>
      </c>
      <c r="O758" s="1" t="s">
        <v>6213</v>
      </c>
    </row>
    <row r="759" spans="1:15" x14ac:dyDescent="0.4">
      <c r="A759" s="1" t="s">
        <v>1979</v>
      </c>
      <c r="B759" s="1" t="s">
        <v>1927</v>
      </c>
      <c r="C759" s="1" t="s">
        <v>1983</v>
      </c>
      <c r="D759" s="1" t="s">
        <v>1933</v>
      </c>
      <c r="E759" s="1" t="s">
        <v>1909</v>
      </c>
      <c r="F759" s="1" t="s">
        <v>17</v>
      </c>
      <c r="G759" s="4" t="str">
        <f>"08002-1661"</f>
        <v>08002-1661</v>
      </c>
      <c r="H759" s="1">
        <v>0</v>
      </c>
      <c r="I759" s="1">
        <v>0</v>
      </c>
      <c r="J759" s="1">
        <v>0</v>
      </c>
      <c r="K759" s="1">
        <v>77</v>
      </c>
      <c r="L759" s="1" t="s">
        <v>1980</v>
      </c>
      <c r="M759" s="1" t="s">
        <v>1981</v>
      </c>
      <c r="N759" s="1" t="s">
        <v>13</v>
      </c>
      <c r="O759" s="1" t="s">
        <v>1982</v>
      </c>
    </row>
    <row r="760" spans="1:15" x14ac:dyDescent="0.4">
      <c r="A760" s="1" t="s">
        <v>4454</v>
      </c>
      <c r="B760" s="1" t="s">
        <v>4393</v>
      </c>
      <c r="C760" s="1" t="s">
        <v>4456</v>
      </c>
      <c r="D760" s="1" t="s">
        <v>2427</v>
      </c>
      <c r="E760" s="1" t="s">
        <v>8026</v>
      </c>
      <c r="F760" s="1" t="s">
        <v>17</v>
      </c>
      <c r="G760" s="4" t="str">
        <f>"08618"</f>
        <v>08618</v>
      </c>
      <c r="H760" s="1">
        <v>0</v>
      </c>
      <c r="I760" s="1">
        <v>0</v>
      </c>
      <c r="J760" s="1">
        <v>0</v>
      </c>
      <c r="K760" s="1">
        <v>0</v>
      </c>
      <c r="L760" s="1" t="s">
        <v>136</v>
      </c>
      <c r="M760" s="1" t="s">
        <v>4433</v>
      </c>
      <c r="N760" s="1" t="s">
        <v>13</v>
      </c>
      <c r="O760" s="1" t="s">
        <v>4455</v>
      </c>
    </row>
    <row r="761" spans="1:15" x14ac:dyDescent="0.4">
      <c r="A761" s="1" t="s">
        <v>807</v>
      </c>
      <c r="B761" s="1" t="s">
        <v>801</v>
      </c>
      <c r="C761" s="1" t="s">
        <v>810</v>
      </c>
      <c r="D761" s="1" t="s">
        <v>806</v>
      </c>
      <c r="E761" s="1" t="s">
        <v>8018</v>
      </c>
      <c r="F761" s="1" t="s">
        <v>17</v>
      </c>
      <c r="G761" s="4" t="str">
        <f>"07430"</f>
        <v>07430</v>
      </c>
      <c r="H761" s="1">
        <v>0</v>
      </c>
      <c r="I761" s="1">
        <v>0</v>
      </c>
      <c r="J761" s="1">
        <v>0</v>
      </c>
      <c r="K761" s="1">
        <v>0</v>
      </c>
      <c r="L761" s="1" t="s">
        <v>502</v>
      </c>
      <c r="M761" s="1" t="s">
        <v>808</v>
      </c>
      <c r="N761" s="1" t="s">
        <v>13</v>
      </c>
      <c r="O761" s="1" t="s">
        <v>809</v>
      </c>
    </row>
    <row r="762" spans="1:15" x14ac:dyDescent="0.4">
      <c r="A762" s="1" t="s">
        <v>807</v>
      </c>
      <c r="B762" s="1" t="s">
        <v>4729</v>
      </c>
      <c r="C762" s="1" t="s">
        <v>4732</v>
      </c>
      <c r="D762" s="1" t="s">
        <v>4733</v>
      </c>
      <c r="E762" s="1" t="s">
        <v>8018</v>
      </c>
      <c r="F762" s="1" t="s">
        <v>17</v>
      </c>
      <c r="G762" s="4" t="str">
        <f>"08850"</f>
        <v>08850</v>
      </c>
      <c r="H762" s="1">
        <v>0</v>
      </c>
      <c r="I762" s="1">
        <v>0</v>
      </c>
      <c r="J762" s="1">
        <v>0</v>
      </c>
      <c r="K762" s="1">
        <v>0</v>
      </c>
      <c r="L762" s="1" t="s">
        <v>356</v>
      </c>
      <c r="M762" s="1" t="s">
        <v>4730</v>
      </c>
      <c r="N762" s="1" t="s">
        <v>13</v>
      </c>
      <c r="O762" s="1" t="s">
        <v>4731</v>
      </c>
    </row>
    <row r="763" spans="1:15" x14ac:dyDescent="0.4">
      <c r="A763" s="1" t="s">
        <v>8054</v>
      </c>
      <c r="B763" s="1" t="s">
        <v>7477</v>
      </c>
      <c r="C763" s="1" t="s">
        <v>7519</v>
      </c>
      <c r="D763" s="1" t="s">
        <v>1348</v>
      </c>
      <c r="E763" s="1" t="s">
        <v>7833</v>
      </c>
      <c r="F763" s="1" t="s">
        <v>17</v>
      </c>
      <c r="G763" s="4" t="str">
        <f>"07202"</f>
        <v>07202</v>
      </c>
      <c r="H763" s="1">
        <v>0</v>
      </c>
      <c r="I763" s="1">
        <v>0</v>
      </c>
      <c r="J763" s="1">
        <v>0</v>
      </c>
      <c r="K763" s="1">
        <v>0</v>
      </c>
      <c r="L763" s="1" t="s">
        <v>3728</v>
      </c>
      <c r="M763" s="1" t="s">
        <v>7517</v>
      </c>
      <c r="N763" s="1" t="s">
        <v>13</v>
      </c>
      <c r="O763" s="1" t="s">
        <v>7518</v>
      </c>
    </row>
    <row r="764" spans="1:15" x14ac:dyDescent="0.4">
      <c r="A764" s="1" t="s">
        <v>6135</v>
      </c>
      <c r="B764" s="1" t="s">
        <v>6118</v>
      </c>
      <c r="C764" s="1" t="s">
        <v>6138</v>
      </c>
      <c r="D764" s="1" t="s">
        <v>5931</v>
      </c>
      <c r="E764" s="1" t="s">
        <v>1503</v>
      </c>
      <c r="F764" s="1" t="s">
        <v>17</v>
      </c>
      <c r="G764" s="4" t="str">
        <f>"07866"</f>
        <v>07866</v>
      </c>
      <c r="H764" s="1">
        <v>0</v>
      </c>
      <c r="I764" s="1">
        <v>0</v>
      </c>
      <c r="J764" s="1">
        <v>0</v>
      </c>
      <c r="K764" s="1">
        <v>48</v>
      </c>
      <c r="L764" s="1" t="s">
        <v>50</v>
      </c>
      <c r="M764" s="1" t="s">
        <v>6136</v>
      </c>
      <c r="N764" s="1" t="s">
        <v>13</v>
      </c>
      <c r="O764" s="1" t="s">
        <v>6137</v>
      </c>
    </row>
    <row r="765" spans="1:15" x14ac:dyDescent="0.4">
      <c r="A765" s="1" t="s">
        <v>7800</v>
      </c>
      <c r="B765" s="1" t="s">
        <v>7791</v>
      </c>
      <c r="C765" s="1" t="s">
        <v>7803</v>
      </c>
      <c r="D765" s="1" t="s">
        <v>2482</v>
      </c>
      <c r="E765" s="1" t="s">
        <v>7833</v>
      </c>
      <c r="F765" s="1" t="s">
        <v>17</v>
      </c>
      <c r="G765" s="4" t="str">
        <f>"07083"</f>
        <v>07083</v>
      </c>
      <c r="H765" s="1">
        <v>0</v>
      </c>
      <c r="I765" s="1">
        <v>0</v>
      </c>
      <c r="J765" s="1">
        <v>0</v>
      </c>
      <c r="K765" s="1">
        <v>0</v>
      </c>
      <c r="L765" s="1" t="s">
        <v>7723</v>
      </c>
      <c r="M765" s="1" t="s">
        <v>7801</v>
      </c>
      <c r="N765" s="1" t="s">
        <v>13</v>
      </c>
      <c r="O765" s="1" t="s">
        <v>7802</v>
      </c>
    </row>
    <row r="766" spans="1:15" x14ac:dyDescent="0.4">
      <c r="A766" s="1" t="s">
        <v>5344</v>
      </c>
      <c r="B766" s="1" t="s">
        <v>5334</v>
      </c>
      <c r="C766" s="1" t="s">
        <v>5347</v>
      </c>
      <c r="D766" s="1" t="s">
        <v>5339</v>
      </c>
      <c r="E766" s="1" t="s">
        <v>8027</v>
      </c>
      <c r="F766" s="1" t="s">
        <v>17</v>
      </c>
      <c r="G766" s="4" t="str">
        <f>"07734-1999"</f>
        <v>07734-1999</v>
      </c>
      <c r="H766" s="1">
        <v>0</v>
      </c>
      <c r="I766" s="1">
        <v>0</v>
      </c>
      <c r="J766" s="1">
        <v>0</v>
      </c>
      <c r="K766" s="1">
        <v>0</v>
      </c>
      <c r="L766" s="1" t="s">
        <v>906</v>
      </c>
      <c r="M766" s="1" t="s">
        <v>5345</v>
      </c>
      <c r="N766" s="1" t="s">
        <v>13</v>
      </c>
      <c r="O766" s="1" t="s">
        <v>5346</v>
      </c>
    </row>
    <row r="767" spans="1:15" x14ac:dyDescent="0.4">
      <c r="A767" s="1" t="s">
        <v>3951</v>
      </c>
      <c r="B767" s="1" t="s">
        <v>2594</v>
      </c>
      <c r="C767" s="1" t="s">
        <v>3955</v>
      </c>
      <c r="D767" s="1" t="s">
        <v>3950</v>
      </c>
      <c r="E767" s="1" t="s">
        <v>3646</v>
      </c>
      <c r="F767" s="1" t="s">
        <v>17</v>
      </c>
      <c r="G767" s="4" t="str">
        <f>"07032-2612"</f>
        <v>07032-2612</v>
      </c>
      <c r="H767" s="1">
        <v>0</v>
      </c>
      <c r="I767" s="1">
        <v>0</v>
      </c>
      <c r="J767" s="1">
        <v>0</v>
      </c>
      <c r="K767" s="1">
        <v>0</v>
      </c>
      <c r="L767" s="1" t="s">
        <v>3952</v>
      </c>
      <c r="M767" s="1" t="s">
        <v>3953</v>
      </c>
      <c r="N767" s="1" t="s">
        <v>13</v>
      </c>
      <c r="O767" s="1" t="s">
        <v>3954</v>
      </c>
    </row>
    <row r="768" spans="1:15" x14ac:dyDescent="0.4">
      <c r="A768" s="1" t="s">
        <v>3510</v>
      </c>
      <c r="B768" s="1" t="s">
        <v>3497</v>
      </c>
      <c r="C768" s="1" t="s">
        <v>3513</v>
      </c>
      <c r="D768" s="1" t="s">
        <v>3501</v>
      </c>
      <c r="E768" s="1" t="s">
        <v>8024</v>
      </c>
      <c r="F768" s="1" t="s">
        <v>17</v>
      </c>
      <c r="G768" s="4" t="str">
        <f>"07052-2803"</f>
        <v>07052-2803</v>
      </c>
      <c r="H768" s="1">
        <v>0</v>
      </c>
      <c r="I768" s="1">
        <v>0</v>
      </c>
      <c r="J768" s="1">
        <v>0</v>
      </c>
      <c r="K768" s="1">
        <v>74</v>
      </c>
      <c r="L768" s="1" t="s">
        <v>128</v>
      </c>
      <c r="M768" s="1" t="s">
        <v>3511</v>
      </c>
      <c r="N768" s="1" t="s">
        <v>13</v>
      </c>
      <c r="O768" s="1" t="s">
        <v>3512</v>
      </c>
    </row>
    <row r="769" spans="1:15" x14ac:dyDescent="0.4">
      <c r="A769" s="1" t="s">
        <v>1757</v>
      </c>
      <c r="B769" s="1" t="s">
        <v>1756</v>
      </c>
      <c r="C769" s="1" t="s">
        <v>1760</v>
      </c>
      <c r="D769" s="1" t="s">
        <v>1531</v>
      </c>
      <c r="E769" s="1" t="s">
        <v>8019</v>
      </c>
      <c r="F769" s="1" t="s">
        <v>17</v>
      </c>
      <c r="G769" s="4" t="str">
        <f>"08088"</f>
        <v>08088</v>
      </c>
      <c r="H769" s="1">
        <v>0</v>
      </c>
      <c r="I769" s="1">
        <v>0</v>
      </c>
      <c r="J769" s="1">
        <v>0</v>
      </c>
      <c r="K769" s="1">
        <v>0</v>
      </c>
      <c r="L769" s="1" t="s">
        <v>42</v>
      </c>
      <c r="M769" s="1" t="s">
        <v>1758</v>
      </c>
      <c r="N769" s="1" t="s">
        <v>13</v>
      </c>
      <c r="O769" s="1" t="s">
        <v>1759</v>
      </c>
    </row>
    <row r="770" spans="1:15" x14ac:dyDescent="0.4">
      <c r="A770" s="1" t="s">
        <v>5351</v>
      </c>
      <c r="B770" s="1" t="s">
        <v>5348</v>
      </c>
      <c r="C770" s="1" t="s">
        <v>5354</v>
      </c>
      <c r="D770" s="1" t="s">
        <v>5350</v>
      </c>
      <c r="E770" s="1" t="s">
        <v>8027</v>
      </c>
      <c r="F770" s="1" t="s">
        <v>17</v>
      </c>
      <c r="G770" s="4" t="str">
        <f>"07735-1695"</f>
        <v>07735-1695</v>
      </c>
      <c r="H770" s="1">
        <v>0</v>
      </c>
      <c r="I770" s="1">
        <v>0</v>
      </c>
      <c r="J770" s="1">
        <v>0</v>
      </c>
      <c r="K770" s="1">
        <v>0</v>
      </c>
      <c r="L770" s="1" t="s">
        <v>158</v>
      </c>
      <c r="M770" s="1" t="s">
        <v>5352</v>
      </c>
      <c r="N770" s="1" t="s">
        <v>13</v>
      </c>
      <c r="O770" s="1" t="s">
        <v>5353</v>
      </c>
    </row>
    <row r="771" spans="1:15" x14ac:dyDescent="0.4">
      <c r="A771" s="1" t="s">
        <v>5833</v>
      </c>
      <c r="B771" s="1" t="s">
        <v>5832</v>
      </c>
      <c r="C771" s="1" t="s">
        <v>5836</v>
      </c>
      <c r="D771" s="1" t="s">
        <v>5837</v>
      </c>
      <c r="E771" s="1" t="s">
        <v>1503</v>
      </c>
      <c r="F771" s="1" t="s">
        <v>17</v>
      </c>
      <c r="G771" s="4" t="str">
        <f>"07405"</f>
        <v>07405</v>
      </c>
      <c r="H771" s="1">
        <v>0</v>
      </c>
      <c r="I771" s="1">
        <v>0</v>
      </c>
      <c r="J771" s="1">
        <v>0</v>
      </c>
      <c r="K771" s="1">
        <v>117</v>
      </c>
      <c r="L771" s="1" t="s">
        <v>38</v>
      </c>
      <c r="M771" s="1" t="s">
        <v>5834</v>
      </c>
      <c r="N771" s="1" t="s">
        <v>13</v>
      </c>
      <c r="O771" s="1" t="s">
        <v>5835</v>
      </c>
    </row>
    <row r="772" spans="1:15" x14ac:dyDescent="0.4">
      <c r="A772" s="1" t="s">
        <v>7715</v>
      </c>
      <c r="B772" s="1" t="s">
        <v>7702</v>
      </c>
      <c r="C772" s="1" t="s">
        <v>7717</v>
      </c>
      <c r="D772" s="1" t="s">
        <v>7707</v>
      </c>
      <c r="E772" s="1" t="s">
        <v>7833</v>
      </c>
      <c r="F772" s="1" t="s">
        <v>17</v>
      </c>
      <c r="G772" s="4" t="str">
        <f>"07203"</f>
        <v>07203</v>
      </c>
      <c r="H772" s="1">
        <v>0</v>
      </c>
      <c r="I772" s="1">
        <v>0</v>
      </c>
      <c r="J772" s="1">
        <v>0</v>
      </c>
      <c r="K772" s="1">
        <v>216</v>
      </c>
      <c r="L772" s="1" t="s">
        <v>611</v>
      </c>
      <c r="M772" s="1" t="s">
        <v>1342</v>
      </c>
      <c r="N772" s="1" t="s">
        <v>13</v>
      </c>
      <c r="O772" s="1" t="s">
        <v>7716</v>
      </c>
    </row>
    <row r="773" spans="1:15" x14ac:dyDescent="0.4">
      <c r="A773" s="1" t="s">
        <v>2612</v>
      </c>
      <c r="B773" s="1" t="s">
        <v>2612</v>
      </c>
      <c r="C773" s="1" t="s">
        <v>2615</v>
      </c>
      <c r="D773" s="1" t="s">
        <v>2439</v>
      </c>
      <c r="E773" s="1" t="s">
        <v>8022</v>
      </c>
      <c r="F773" s="1" t="s">
        <v>17</v>
      </c>
      <c r="G773" s="4" t="str">
        <f>"07306"</f>
        <v>07306</v>
      </c>
      <c r="H773" s="1">
        <v>0</v>
      </c>
      <c r="I773" s="1">
        <v>0</v>
      </c>
      <c r="J773" s="1">
        <v>0</v>
      </c>
      <c r="K773" s="1">
        <v>0</v>
      </c>
      <c r="L773" s="1" t="s">
        <v>146</v>
      </c>
      <c r="M773" s="1" t="s">
        <v>2613</v>
      </c>
      <c r="N773" s="1" t="s">
        <v>129</v>
      </c>
      <c r="O773" s="1" t="s">
        <v>2614</v>
      </c>
    </row>
    <row r="774" spans="1:15" x14ac:dyDescent="0.4">
      <c r="A774" s="1" t="s">
        <v>5868</v>
      </c>
      <c r="B774" s="1" t="s">
        <v>5866</v>
      </c>
      <c r="C774" s="1" t="s">
        <v>5871</v>
      </c>
      <c r="D774" s="1" t="s">
        <v>5867</v>
      </c>
      <c r="E774" s="1" t="s">
        <v>1503</v>
      </c>
      <c r="F774" s="1" t="s">
        <v>17</v>
      </c>
      <c r="G774" s="4" t="str">
        <f>"07940"</f>
        <v>07940</v>
      </c>
      <c r="H774" s="1">
        <v>0</v>
      </c>
      <c r="I774" s="1">
        <v>0</v>
      </c>
      <c r="J774" s="1">
        <v>0</v>
      </c>
      <c r="K774" s="1">
        <v>35</v>
      </c>
      <c r="L774" s="1" t="s">
        <v>19</v>
      </c>
      <c r="M774" s="1" t="s">
        <v>5869</v>
      </c>
      <c r="N774" s="1" t="s">
        <v>13</v>
      </c>
      <c r="O774" s="1" t="s">
        <v>5870</v>
      </c>
    </row>
    <row r="775" spans="1:15" x14ac:dyDescent="0.4">
      <c r="A775" s="1" t="s">
        <v>1985</v>
      </c>
      <c r="B775" s="1" t="s">
        <v>1927</v>
      </c>
      <c r="C775" s="1" t="s">
        <v>1988</v>
      </c>
      <c r="D775" s="1" t="s">
        <v>1933</v>
      </c>
      <c r="E775" s="1" t="s">
        <v>1909</v>
      </c>
      <c r="F775" s="1" t="s">
        <v>17</v>
      </c>
      <c r="G775" s="4" t="str">
        <f>"08034-1600"</f>
        <v>08034-1600</v>
      </c>
      <c r="H775" s="1">
        <v>0</v>
      </c>
      <c r="I775" s="1">
        <v>0</v>
      </c>
      <c r="J775" s="1">
        <v>0</v>
      </c>
      <c r="K775" s="1">
        <v>82</v>
      </c>
      <c r="L775" s="1" t="s">
        <v>356</v>
      </c>
      <c r="M775" s="1" t="s">
        <v>1986</v>
      </c>
      <c r="N775" s="1" t="s">
        <v>13</v>
      </c>
      <c r="O775" s="1" t="s">
        <v>1987</v>
      </c>
    </row>
    <row r="776" spans="1:15" x14ac:dyDescent="0.4">
      <c r="A776" s="1" t="s">
        <v>3654</v>
      </c>
      <c r="B776" s="1" t="s">
        <v>3653</v>
      </c>
      <c r="C776" s="1" t="s">
        <v>3657</v>
      </c>
      <c r="D776" s="1" t="s">
        <v>3658</v>
      </c>
      <c r="E776" s="1" t="s">
        <v>8020</v>
      </c>
      <c r="F776" s="1" t="s">
        <v>17</v>
      </c>
      <c r="G776" s="4" t="str">
        <f>"08085-9608"</f>
        <v>08085-9608</v>
      </c>
      <c r="H776" s="1">
        <v>0</v>
      </c>
      <c r="I776" s="1">
        <v>0</v>
      </c>
      <c r="J776" s="1">
        <v>0</v>
      </c>
      <c r="K776" s="1">
        <v>0</v>
      </c>
      <c r="L776" s="1" t="s">
        <v>1320</v>
      </c>
      <c r="M776" s="1" t="s">
        <v>3655</v>
      </c>
      <c r="N776" s="1" t="s">
        <v>13</v>
      </c>
      <c r="O776" s="1" t="s">
        <v>3656</v>
      </c>
    </row>
    <row r="777" spans="1:15" x14ac:dyDescent="0.4">
      <c r="A777" s="1" t="s">
        <v>3659</v>
      </c>
      <c r="B777" s="1" t="s">
        <v>3653</v>
      </c>
      <c r="C777" s="1" t="s">
        <v>3662</v>
      </c>
      <c r="D777" s="1" t="s">
        <v>3658</v>
      </c>
      <c r="E777" s="1" t="s">
        <v>8020</v>
      </c>
      <c r="F777" s="1" t="s">
        <v>17</v>
      </c>
      <c r="G777" s="4" t="str">
        <f>"08085"</f>
        <v>08085</v>
      </c>
      <c r="H777" s="1">
        <v>0</v>
      </c>
      <c r="I777" s="1">
        <v>0</v>
      </c>
      <c r="J777" s="1">
        <v>0</v>
      </c>
      <c r="K777" s="1">
        <v>0</v>
      </c>
      <c r="L777" s="1" t="s">
        <v>50</v>
      </c>
      <c r="M777" s="1" t="s">
        <v>3660</v>
      </c>
      <c r="N777" s="1" t="s">
        <v>13</v>
      </c>
      <c r="O777" s="1" t="s">
        <v>3661</v>
      </c>
    </row>
    <row r="778" spans="1:15" x14ac:dyDescent="0.4">
      <c r="A778" s="1" t="s">
        <v>5838</v>
      </c>
      <c r="B778" s="1" t="s">
        <v>5832</v>
      </c>
      <c r="C778" s="1" t="s">
        <v>5841</v>
      </c>
      <c r="D778" s="1" t="s">
        <v>5837</v>
      </c>
      <c r="E778" s="1" t="s">
        <v>1503</v>
      </c>
      <c r="F778" s="1" t="s">
        <v>17</v>
      </c>
      <c r="G778" s="4" t="str">
        <f>"07405"</f>
        <v>07405</v>
      </c>
      <c r="H778" s="1">
        <v>0</v>
      </c>
      <c r="I778" s="1">
        <v>0</v>
      </c>
      <c r="J778" s="1">
        <v>0</v>
      </c>
      <c r="K778" s="1">
        <v>0</v>
      </c>
      <c r="L778" s="1" t="s">
        <v>1497</v>
      </c>
      <c r="M778" s="1" t="s">
        <v>5839</v>
      </c>
      <c r="N778" s="1" t="s">
        <v>13</v>
      </c>
      <c r="O778" s="1" t="s">
        <v>5840</v>
      </c>
    </row>
    <row r="779" spans="1:15" x14ac:dyDescent="0.4">
      <c r="A779" s="1" t="s">
        <v>8055</v>
      </c>
      <c r="B779" s="1" t="s">
        <v>8055</v>
      </c>
      <c r="C779" s="1" t="s">
        <v>2151</v>
      </c>
      <c r="D779" s="1" t="s">
        <v>1909</v>
      </c>
      <c r="E779" s="1" t="s">
        <v>1909</v>
      </c>
      <c r="F779" s="1" t="s">
        <v>17</v>
      </c>
      <c r="G779" s="4" t="str">
        <f>"08103"</f>
        <v>08103</v>
      </c>
      <c r="H779" s="1">
        <v>0</v>
      </c>
      <c r="I779" s="1">
        <v>0</v>
      </c>
      <c r="J779" s="1">
        <v>0</v>
      </c>
      <c r="K779" s="1">
        <v>167</v>
      </c>
      <c r="L779" s="1" t="s">
        <v>42</v>
      </c>
      <c r="M779" s="1" t="s">
        <v>2036</v>
      </c>
      <c r="N779" s="1" t="s">
        <v>129</v>
      </c>
      <c r="O779" s="1" t="s">
        <v>2150</v>
      </c>
    </row>
    <row r="780" spans="1:15" x14ac:dyDescent="0.4">
      <c r="A780" s="1" t="s">
        <v>4268</v>
      </c>
      <c r="B780" s="1" t="s">
        <v>4235</v>
      </c>
      <c r="C780" s="1" t="s">
        <v>4271</v>
      </c>
      <c r="D780" s="1" t="s">
        <v>4239</v>
      </c>
      <c r="E780" s="1" t="s">
        <v>8026</v>
      </c>
      <c r="F780" s="1" t="s">
        <v>17</v>
      </c>
      <c r="G780" s="4" t="str">
        <f>"08610-4213"</f>
        <v>08610-4213</v>
      </c>
      <c r="H780" s="1">
        <v>0</v>
      </c>
      <c r="I780" s="1">
        <v>0</v>
      </c>
      <c r="J780" s="1">
        <v>0</v>
      </c>
      <c r="K780" s="1">
        <v>42</v>
      </c>
      <c r="L780" s="1" t="s">
        <v>2769</v>
      </c>
      <c r="M780" s="1" t="s">
        <v>4269</v>
      </c>
      <c r="N780" s="1" t="s">
        <v>13</v>
      </c>
      <c r="O780" s="1" t="s">
        <v>4270</v>
      </c>
    </row>
    <row r="781" spans="1:15" x14ac:dyDescent="0.4">
      <c r="A781" s="1" t="s">
        <v>7328</v>
      </c>
      <c r="B781" s="1" t="s">
        <v>7327</v>
      </c>
      <c r="C781" s="1" t="s">
        <v>7331</v>
      </c>
      <c r="D781" s="1" t="s">
        <v>7287</v>
      </c>
      <c r="E781" s="1" t="s">
        <v>8030</v>
      </c>
      <c r="F781" s="1" t="s">
        <v>17</v>
      </c>
      <c r="G781" s="4" t="str">
        <f>"07860"</f>
        <v>07860</v>
      </c>
      <c r="H781" s="1">
        <v>0</v>
      </c>
      <c r="I781" s="1">
        <v>0</v>
      </c>
      <c r="J781" s="1">
        <v>0</v>
      </c>
      <c r="K781" s="1">
        <v>0</v>
      </c>
      <c r="L781" s="1" t="s">
        <v>50</v>
      </c>
      <c r="M781" s="1" t="s">
        <v>7329</v>
      </c>
      <c r="N781" s="1" t="s">
        <v>13</v>
      </c>
      <c r="O781" s="1" t="s">
        <v>7330</v>
      </c>
    </row>
    <row r="782" spans="1:15" x14ac:dyDescent="0.4">
      <c r="A782" s="1" t="s">
        <v>4272</v>
      </c>
      <c r="B782" s="1" t="s">
        <v>4235</v>
      </c>
      <c r="C782" s="1" t="s">
        <v>4276</v>
      </c>
      <c r="D782" s="1" t="s">
        <v>4239</v>
      </c>
      <c r="E782" s="1" t="s">
        <v>8026</v>
      </c>
      <c r="F782" s="1" t="s">
        <v>17</v>
      </c>
      <c r="G782" s="4" t="str">
        <f>"08619-2933"</f>
        <v>08619-2933</v>
      </c>
      <c r="H782" s="1">
        <v>0</v>
      </c>
      <c r="I782" s="1">
        <v>0</v>
      </c>
      <c r="J782" s="1">
        <v>0</v>
      </c>
      <c r="K782" s="1">
        <v>42</v>
      </c>
      <c r="L782" s="1" t="s">
        <v>4273</v>
      </c>
      <c r="M782" s="1" t="s">
        <v>4274</v>
      </c>
      <c r="N782" s="1" t="s">
        <v>13</v>
      </c>
      <c r="O782" s="1" t="s">
        <v>4275</v>
      </c>
    </row>
    <row r="783" spans="1:15" x14ac:dyDescent="0.4">
      <c r="A783" s="1" t="s">
        <v>4916</v>
      </c>
      <c r="B783" s="1" t="s">
        <v>4900</v>
      </c>
      <c r="C783" s="1" t="s">
        <v>4919</v>
      </c>
      <c r="D783" s="1" t="s">
        <v>4631</v>
      </c>
      <c r="E783" s="1" t="s">
        <v>4704</v>
      </c>
      <c r="F783" s="1" t="s">
        <v>17</v>
      </c>
      <c r="G783" s="4" t="str">
        <f>"08854-1332"</f>
        <v>08854-1332</v>
      </c>
      <c r="H783" s="1">
        <v>0</v>
      </c>
      <c r="I783" s="1">
        <v>0</v>
      </c>
      <c r="J783" s="1">
        <v>0</v>
      </c>
      <c r="K783" s="1">
        <v>95</v>
      </c>
      <c r="L783" s="1" t="s">
        <v>50</v>
      </c>
      <c r="M783" s="1" t="s">
        <v>4917</v>
      </c>
      <c r="N783" s="1" t="s">
        <v>13</v>
      </c>
      <c r="O783" s="1" t="s">
        <v>4918</v>
      </c>
    </row>
    <row r="784" spans="1:15" x14ac:dyDescent="0.4">
      <c r="A784" s="1" t="s">
        <v>4916</v>
      </c>
      <c r="B784" s="1" t="s">
        <v>6029</v>
      </c>
      <c r="C784" s="1" t="s">
        <v>6042</v>
      </c>
      <c r="D784" s="1" t="s">
        <v>6043</v>
      </c>
      <c r="E784" s="1" t="s">
        <v>4704</v>
      </c>
      <c r="F784" s="1" t="s">
        <v>17</v>
      </c>
      <c r="G784" s="4" t="str">
        <f>"07034"</f>
        <v>07034</v>
      </c>
      <c r="H784" s="1">
        <v>0</v>
      </c>
      <c r="I784" s="1">
        <v>0</v>
      </c>
      <c r="J784" s="1">
        <v>0</v>
      </c>
      <c r="K784" s="1">
        <v>95</v>
      </c>
      <c r="L784" s="1" t="s">
        <v>1086</v>
      </c>
      <c r="M784" s="1" t="s">
        <v>1028</v>
      </c>
      <c r="N784" s="1" t="s">
        <v>13</v>
      </c>
      <c r="O784" s="1" t="s">
        <v>6041</v>
      </c>
    </row>
    <row r="785" spans="1:15" x14ac:dyDescent="0.4">
      <c r="A785" s="1" t="s">
        <v>5185</v>
      </c>
      <c r="B785" s="1" t="s">
        <v>5184</v>
      </c>
      <c r="C785" s="1" t="s">
        <v>5187</v>
      </c>
      <c r="D785" s="1" t="s">
        <v>5188</v>
      </c>
      <c r="E785" s="1" t="s">
        <v>8027</v>
      </c>
      <c r="F785" s="1" t="s">
        <v>17</v>
      </c>
      <c r="G785" s="4" t="str">
        <f>"07704-3198"</f>
        <v>07704-3198</v>
      </c>
      <c r="H785" s="1">
        <v>0</v>
      </c>
      <c r="I785" s="1">
        <v>0</v>
      </c>
      <c r="J785" s="1">
        <v>0</v>
      </c>
      <c r="K785" s="1">
        <v>0</v>
      </c>
      <c r="L785" s="1" t="s">
        <v>414</v>
      </c>
      <c r="M785" s="1" t="s">
        <v>1156</v>
      </c>
      <c r="N785" s="1" t="s">
        <v>13</v>
      </c>
      <c r="O785" s="1" t="s">
        <v>5186</v>
      </c>
    </row>
    <row r="786" spans="1:15" x14ac:dyDescent="0.4">
      <c r="A786" s="1" t="s">
        <v>7959</v>
      </c>
      <c r="B786" s="1" t="s">
        <v>7958</v>
      </c>
      <c r="C786" s="1" t="s">
        <v>7963</v>
      </c>
      <c r="D786" s="1" t="s">
        <v>7964</v>
      </c>
      <c r="E786" s="1" t="s">
        <v>55</v>
      </c>
      <c r="F786" s="1" t="s">
        <v>17</v>
      </c>
      <c r="G786" s="4" t="str">
        <f>"07833-0152"</f>
        <v>07833-0152</v>
      </c>
      <c r="H786" s="1">
        <v>0</v>
      </c>
      <c r="I786" s="1">
        <v>0</v>
      </c>
      <c r="J786" s="1">
        <v>0</v>
      </c>
      <c r="K786" s="1">
        <v>24</v>
      </c>
      <c r="L786" s="1" t="s">
        <v>7960</v>
      </c>
      <c r="M786" s="1" t="s">
        <v>7961</v>
      </c>
      <c r="N786" s="1" t="s">
        <v>129</v>
      </c>
      <c r="O786" s="1" t="s">
        <v>7962</v>
      </c>
    </row>
    <row r="787" spans="1:15" x14ac:dyDescent="0.4">
      <c r="A787" s="1" t="s">
        <v>4277</v>
      </c>
      <c r="B787" s="1" t="s">
        <v>4235</v>
      </c>
      <c r="C787" s="1" t="s">
        <v>4281</v>
      </c>
      <c r="D787" s="1" t="s">
        <v>4239</v>
      </c>
      <c r="E787" s="1" t="s">
        <v>8026</v>
      </c>
      <c r="F787" s="1" t="s">
        <v>17</v>
      </c>
      <c r="G787" s="4" t="str">
        <f>"08629-1428"</f>
        <v>08629-1428</v>
      </c>
      <c r="H787" s="1">
        <v>0</v>
      </c>
      <c r="I787" s="1">
        <v>0</v>
      </c>
      <c r="J787" s="1">
        <v>0</v>
      </c>
      <c r="K787" s="1">
        <v>96</v>
      </c>
      <c r="L787" s="1" t="s">
        <v>4278</v>
      </c>
      <c r="M787" s="1" t="s">
        <v>4279</v>
      </c>
      <c r="N787" s="1" t="s">
        <v>13</v>
      </c>
      <c r="O787" s="1" t="s">
        <v>4280</v>
      </c>
    </row>
    <row r="788" spans="1:15" x14ac:dyDescent="0.4">
      <c r="A788" s="1" t="s">
        <v>6317</v>
      </c>
      <c r="B788" s="1" t="s">
        <v>6306</v>
      </c>
      <c r="C788" s="1" t="s">
        <v>6320</v>
      </c>
      <c r="D788" s="1" t="s">
        <v>6311</v>
      </c>
      <c r="E788" s="1" t="s">
        <v>8028</v>
      </c>
      <c r="F788" s="1" t="s">
        <v>17</v>
      </c>
      <c r="G788" s="4" t="str">
        <f>"08734"</f>
        <v>08734</v>
      </c>
      <c r="H788" s="1">
        <v>0</v>
      </c>
      <c r="I788" s="1">
        <v>0</v>
      </c>
      <c r="J788" s="1">
        <v>0</v>
      </c>
      <c r="K788" s="1">
        <v>0</v>
      </c>
      <c r="L788" s="1" t="s">
        <v>30</v>
      </c>
      <c r="M788" s="1" t="s">
        <v>6318</v>
      </c>
      <c r="N788" s="1" t="s">
        <v>13</v>
      </c>
      <c r="O788" s="1" t="s">
        <v>6319</v>
      </c>
    </row>
    <row r="789" spans="1:15" x14ac:dyDescent="0.4">
      <c r="A789" s="1" t="s">
        <v>6321</v>
      </c>
      <c r="B789" s="1" t="s">
        <v>6306</v>
      </c>
      <c r="C789" s="1" t="s">
        <v>6324</v>
      </c>
      <c r="D789" s="1" t="s">
        <v>6316</v>
      </c>
      <c r="E789" s="1" t="s">
        <v>8028</v>
      </c>
      <c r="F789" s="1" t="s">
        <v>17</v>
      </c>
      <c r="G789" s="4" t="str">
        <f>"08731-0535"</f>
        <v>08731-0535</v>
      </c>
      <c r="H789" s="1">
        <v>0</v>
      </c>
      <c r="I789" s="1">
        <v>0</v>
      </c>
      <c r="J789" s="1">
        <v>0</v>
      </c>
      <c r="K789" s="1">
        <v>0</v>
      </c>
      <c r="L789" s="1" t="s">
        <v>1008</v>
      </c>
      <c r="M789" s="1" t="s">
        <v>6322</v>
      </c>
      <c r="N789" s="1" t="s">
        <v>13</v>
      </c>
      <c r="O789" s="1" t="s">
        <v>6323</v>
      </c>
    </row>
    <row r="790" spans="1:15" x14ac:dyDescent="0.4">
      <c r="A790" s="1" t="s">
        <v>6166</v>
      </c>
      <c r="B790" s="1" t="s">
        <v>6157</v>
      </c>
      <c r="C790" s="1" t="s">
        <v>6168</v>
      </c>
      <c r="D790" s="1" t="s">
        <v>6161</v>
      </c>
      <c r="E790" s="1" t="s">
        <v>1503</v>
      </c>
      <c r="F790" s="1" t="s">
        <v>17</v>
      </c>
      <c r="G790" s="4" t="str">
        <f>"07928-1830"</f>
        <v>07928-1830</v>
      </c>
      <c r="H790" s="1">
        <v>0</v>
      </c>
      <c r="I790" s="1">
        <v>0</v>
      </c>
      <c r="J790" s="1">
        <v>0</v>
      </c>
      <c r="K790" s="1">
        <v>0</v>
      </c>
      <c r="L790" s="1" t="s">
        <v>471</v>
      </c>
      <c r="M790" s="1" t="s">
        <v>883</v>
      </c>
      <c r="N790" s="1" t="s">
        <v>13</v>
      </c>
      <c r="O790" s="1" t="s">
        <v>6167</v>
      </c>
    </row>
    <row r="791" spans="1:15" x14ac:dyDescent="0.4">
      <c r="A791" s="1" t="s">
        <v>6874</v>
      </c>
      <c r="B791" s="1" t="s">
        <v>6857</v>
      </c>
      <c r="C791" s="1" t="s">
        <v>6878</v>
      </c>
      <c r="D791" s="1" t="s">
        <v>6682</v>
      </c>
      <c r="E791" s="1" t="s">
        <v>2670</v>
      </c>
      <c r="F791" s="1" t="s">
        <v>17</v>
      </c>
      <c r="G791" s="4" t="str">
        <f>"07470-2950"</f>
        <v>07470-2950</v>
      </c>
      <c r="H791" s="1">
        <v>0</v>
      </c>
      <c r="I791" s="1">
        <v>0</v>
      </c>
      <c r="J791" s="1">
        <v>0</v>
      </c>
      <c r="K791" s="1">
        <v>34</v>
      </c>
      <c r="L791" s="1" t="s">
        <v>6875</v>
      </c>
      <c r="M791" s="1" t="s">
        <v>6876</v>
      </c>
      <c r="N791" s="1" t="s">
        <v>13</v>
      </c>
      <c r="O791" s="1" t="s">
        <v>6877</v>
      </c>
    </row>
    <row r="792" spans="1:15" x14ac:dyDescent="0.4">
      <c r="A792" s="1" t="s">
        <v>6874</v>
      </c>
      <c r="B792" s="1" t="s">
        <v>7063</v>
      </c>
      <c r="C792" s="1" t="s">
        <v>7073</v>
      </c>
      <c r="D792" s="1" t="s">
        <v>7067</v>
      </c>
      <c r="E792" s="1" t="s">
        <v>2670</v>
      </c>
      <c r="F792" s="1" t="s">
        <v>17</v>
      </c>
      <c r="G792" s="4" t="str">
        <f>"08805"</f>
        <v>08805</v>
      </c>
      <c r="H792" s="1">
        <v>0</v>
      </c>
      <c r="I792" s="1">
        <v>0</v>
      </c>
      <c r="J792" s="1">
        <v>0</v>
      </c>
      <c r="K792" s="1">
        <v>34</v>
      </c>
      <c r="L792" s="1" t="s">
        <v>385</v>
      </c>
      <c r="M792" s="1" t="s">
        <v>7071</v>
      </c>
      <c r="N792" s="1" t="s">
        <v>13</v>
      </c>
      <c r="O792" s="1" t="s">
        <v>7072</v>
      </c>
    </row>
    <row r="793" spans="1:15" x14ac:dyDescent="0.4">
      <c r="A793" s="1" t="s">
        <v>5085</v>
      </c>
      <c r="B793" s="1" t="s">
        <v>5044</v>
      </c>
      <c r="C793" s="1" t="s">
        <v>5088</v>
      </c>
      <c r="D793" s="1" t="s">
        <v>5071</v>
      </c>
      <c r="E793" s="1" t="s">
        <v>4704</v>
      </c>
      <c r="F793" s="1" t="s">
        <v>17</v>
      </c>
      <c r="G793" s="4" t="str">
        <f>"08863"</f>
        <v>08863</v>
      </c>
      <c r="H793" s="1">
        <v>1</v>
      </c>
      <c r="I793" s="1">
        <v>0.1</v>
      </c>
      <c r="J793" s="1">
        <v>0</v>
      </c>
      <c r="K793" s="1">
        <v>67</v>
      </c>
      <c r="L793" s="1" t="s">
        <v>685</v>
      </c>
      <c r="M793" s="1" t="s">
        <v>5086</v>
      </c>
      <c r="N793" s="1" t="s">
        <v>13</v>
      </c>
      <c r="O793" s="1" t="s">
        <v>5087</v>
      </c>
    </row>
    <row r="794" spans="1:15" x14ac:dyDescent="0.4">
      <c r="A794" s="1" t="s">
        <v>5395</v>
      </c>
      <c r="B794" s="1" t="s">
        <v>5389</v>
      </c>
      <c r="C794" s="1" t="s">
        <v>5397</v>
      </c>
      <c r="D794" s="1" t="s">
        <v>5398</v>
      </c>
      <c r="E794" s="1" t="s">
        <v>8027</v>
      </c>
      <c r="F794" s="1" t="s">
        <v>17</v>
      </c>
      <c r="G794" s="4" t="str">
        <f>"07726-2710"</f>
        <v>07726-2710</v>
      </c>
      <c r="H794" s="1">
        <v>0</v>
      </c>
      <c r="I794" s="1">
        <v>0</v>
      </c>
      <c r="J794" s="1">
        <v>0</v>
      </c>
      <c r="K794" s="1">
        <v>0</v>
      </c>
      <c r="L794" s="1" t="s">
        <v>1008</v>
      </c>
      <c r="M794" s="1" t="s">
        <v>198</v>
      </c>
      <c r="N794" s="1" t="s">
        <v>13</v>
      </c>
      <c r="O794" s="1" t="s">
        <v>5396</v>
      </c>
    </row>
    <row r="795" spans="1:15" x14ac:dyDescent="0.4">
      <c r="A795" s="1" t="s">
        <v>6044</v>
      </c>
      <c r="B795" s="1" t="s">
        <v>6029</v>
      </c>
      <c r="C795" s="1" t="s">
        <v>6046</v>
      </c>
      <c r="D795" s="1" t="s">
        <v>6033</v>
      </c>
      <c r="E795" s="1" t="s">
        <v>1503</v>
      </c>
      <c r="F795" s="1" t="s">
        <v>17</v>
      </c>
      <c r="G795" s="4" t="str">
        <f>"07054"</f>
        <v>07054</v>
      </c>
      <c r="H795" s="1">
        <v>0</v>
      </c>
      <c r="I795" s="1">
        <v>0</v>
      </c>
      <c r="J795" s="1">
        <v>0</v>
      </c>
      <c r="K795" s="1">
        <v>43</v>
      </c>
      <c r="L795" s="1" t="s">
        <v>497</v>
      </c>
      <c r="M795" s="1" t="s">
        <v>271</v>
      </c>
      <c r="N795" s="1" t="s">
        <v>13</v>
      </c>
      <c r="O795" s="1" t="s">
        <v>6045</v>
      </c>
    </row>
    <row r="796" spans="1:15" x14ac:dyDescent="0.4">
      <c r="A796" s="1" t="s">
        <v>6260</v>
      </c>
      <c r="B796" s="1" t="s">
        <v>6241</v>
      </c>
      <c r="C796" s="1" t="s">
        <v>6262</v>
      </c>
      <c r="D796" s="1" t="s">
        <v>6251</v>
      </c>
      <c r="E796" s="1" t="s">
        <v>8028</v>
      </c>
      <c r="F796" s="1" t="s">
        <v>17</v>
      </c>
      <c r="G796" s="4" t="str">
        <f>"08723"</f>
        <v>08723</v>
      </c>
      <c r="H796" s="1">
        <v>0</v>
      </c>
      <c r="I796" s="1">
        <v>0</v>
      </c>
      <c r="J796" s="1">
        <v>0</v>
      </c>
      <c r="K796" s="1">
        <v>0</v>
      </c>
      <c r="L796" s="1" t="s">
        <v>11</v>
      </c>
      <c r="M796" s="1" t="s">
        <v>1533</v>
      </c>
      <c r="N796" s="1" t="s">
        <v>13</v>
      </c>
      <c r="O796" s="1" t="s">
        <v>6261</v>
      </c>
    </row>
    <row r="797" spans="1:15" x14ac:dyDescent="0.4">
      <c r="A797" s="1" t="s">
        <v>3584</v>
      </c>
      <c r="B797" s="1" t="s">
        <v>3570</v>
      </c>
      <c r="C797" s="1" t="s">
        <v>3587</v>
      </c>
      <c r="D797" s="1" t="s">
        <v>3571</v>
      </c>
      <c r="E797" s="1" t="s">
        <v>8020</v>
      </c>
      <c r="F797" s="1" t="s">
        <v>17</v>
      </c>
      <c r="G797" s="4" t="str">
        <f>"08096"</f>
        <v>08096</v>
      </c>
      <c r="H797" s="1">
        <v>0</v>
      </c>
      <c r="I797" s="1">
        <v>0</v>
      </c>
      <c r="J797" s="1">
        <v>0</v>
      </c>
      <c r="K797" s="1">
        <v>0</v>
      </c>
      <c r="L797" s="1" t="s">
        <v>443</v>
      </c>
      <c r="M797" s="1" t="s">
        <v>3585</v>
      </c>
      <c r="N797" s="1" t="s">
        <v>13</v>
      </c>
      <c r="O797" s="1" t="s">
        <v>3586</v>
      </c>
    </row>
    <row r="798" spans="1:15" x14ac:dyDescent="0.4">
      <c r="A798" s="1" t="s">
        <v>6595</v>
      </c>
      <c r="B798" s="1" t="s">
        <v>6594</v>
      </c>
      <c r="C798" s="1" t="s">
        <v>6599</v>
      </c>
      <c r="D798" s="1" t="s">
        <v>6600</v>
      </c>
      <c r="E798" s="1" t="s">
        <v>2670</v>
      </c>
      <c r="F798" s="1" t="s">
        <v>17</v>
      </c>
      <c r="G798" s="4" t="str">
        <f>"07465-2198"</f>
        <v>07465-2198</v>
      </c>
      <c r="H798" s="1">
        <v>0</v>
      </c>
      <c r="I798" s="1">
        <v>0</v>
      </c>
      <c r="J798" s="1">
        <v>0</v>
      </c>
      <c r="K798" s="1">
        <v>0</v>
      </c>
      <c r="L798" s="1" t="s">
        <v>6596</v>
      </c>
      <c r="M798" s="1" t="s">
        <v>6597</v>
      </c>
      <c r="N798" s="1" t="s">
        <v>129</v>
      </c>
      <c r="O798" s="1" t="s">
        <v>6598</v>
      </c>
    </row>
    <row r="799" spans="1:15" x14ac:dyDescent="0.4">
      <c r="A799" s="1" t="s">
        <v>2842</v>
      </c>
      <c r="B799" s="1" t="s">
        <v>2834</v>
      </c>
      <c r="C799" s="1" t="s">
        <v>2845</v>
      </c>
      <c r="D799" s="1" t="s">
        <v>2836</v>
      </c>
      <c r="E799" s="1" t="s">
        <v>8023</v>
      </c>
      <c r="F799" s="1" t="s">
        <v>17</v>
      </c>
      <c r="G799" s="4" t="str">
        <f>"08332"</f>
        <v>08332</v>
      </c>
      <c r="H799" s="1">
        <v>0</v>
      </c>
      <c r="I799" s="1">
        <v>0</v>
      </c>
      <c r="J799" s="1">
        <v>0</v>
      </c>
      <c r="K799" s="1">
        <v>0</v>
      </c>
      <c r="L799" s="1" t="s">
        <v>250</v>
      </c>
      <c r="M799" s="1" t="s">
        <v>2843</v>
      </c>
      <c r="N799" s="1" t="s">
        <v>13</v>
      </c>
      <c r="O799" s="1" t="s">
        <v>2844</v>
      </c>
    </row>
    <row r="800" spans="1:15" x14ac:dyDescent="0.4">
      <c r="A800" s="1" t="s">
        <v>6814</v>
      </c>
      <c r="B800" s="1" t="s">
        <v>6813</v>
      </c>
      <c r="C800" s="1" t="s">
        <v>6817</v>
      </c>
      <c r="D800" s="1" t="s">
        <v>6818</v>
      </c>
      <c r="E800" s="1" t="s">
        <v>2670</v>
      </c>
      <c r="F800" s="1" t="s">
        <v>17</v>
      </c>
      <c r="G800" s="4" t="str">
        <f>"07442-1299"</f>
        <v>07442-1299</v>
      </c>
      <c r="H800" s="1">
        <v>0</v>
      </c>
      <c r="I800" s="1">
        <v>0</v>
      </c>
      <c r="J800" s="1">
        <v>0</v>
      </c>
      <c r="K800" s="1">
        <v>0</v>
      </c>
      <c r="L800" s="1" t="s">
        <v>434</v>
      </c>
      <c r="M800" s="1" t="s">
        <v>6815</v>
      </c>
      <c r="N800" s="1" t="s">
        <v>13</v>
      </c>
      <c r="O800" s="1" t="s">
        <v>6816</v>
      </c>
    </row>
    <row r="801" spans="1:15" x14ac:dyDescent="0.4">
      <c r="A801" s="1" t="s">
        <v>5729</v>
      </c>
      <c r="B801" s="1" t="s">
        <v>5728</v>
      </c>
      <c r="C801" s="1" t="s">
        <v>5733</v>
      </c>
      <c r="D801" s="1" t="s">
        <v>5734</v>
      </c>
      <c r="E801" s="1" t="s">
        <v>1503</v>
      </c>
      <c r="F801" s="1" t="s">
        <v>17</v>
      </c>
      <c r="G801" s="4" t="str">
        <f>"07834"</f>
        <v>07834</v>
      </c>
      <c r="H801" s="1">
        <v>0</v>
      </c>
      <c r="I801" s="1">
        <v>0</v>
      </c>
      <c r="J801" s="1">
        <v>0</v>
      </c>
      <c r="K801" s="1">
        <v>108</v>
      </c>
      <c r="L801" s="1" t="s">
        <v>5730</v>
      </c>
      <c r="M801" s="1" t="s">
        <v>5731</v>
      </c>
      <c r="N801" s="1" t="s">
        <v>13</v>
      </c>
      <c r="O801" s="1" t="s">
        <v>5732</v>
      </c>
    </row>
    <row r="802" spans="1:15" x14ac:dyDescent="0.4">
      <c r="A802" s="1" t="s">
        <v>6337</v>
      </c>
      <c r="B802" s="1" t="s">
        <v>6328</v>
      </c>
      <c r="C802" s="1" t="s">
        <v>6339</v>
      </c>
      <c r="D802" s="1" t="s">
        <v>6333</v>
      </c>
      <c r="E802" s="1" t="s">
        <v>8028</v>
      </c>
      <c r="F802" s="1" t="s">
        <v>17</v>
      </c>
      <c r="G802" s="4" t="str">
        <f>"08701"</f>
        <v>08701</v>
      </c>
      <c r="H802" s="1">
        <v>0</v>
      </c>
      <c r="I802" s="1">
        <v>0</v>
      </c>
      <c r="J802" s="1">
        <v>0</v>
      </c>
      <c r="K802" s="1">
        <v>0</v>
      </c>
      <c r="L802" s="1" t="s">
        <v>657</v>
      </c>
      <c r="M802" s="1" t="s">
        <v>4714</v>
      </c>
      <c r="N802" s="1" t="s">
        <v>13</v>
      </c>
      <c r="O802" s="1" t="s">
        <v>6338</v>
      </c>
    </row>
    <row r="803" spans="1:15" x14ac:dyDescent="0.4">
      <c r="A803" s="1" t="s">
        <v>6340</v>
      </c>
      <c r="B803" s="1" t="s">
        <v>6328</v>
      </c>
      <c r="C803" s="1" t="s">
        <v>6343</v>
      </c>
      <c r="D803" s="1" t="s">
        <v>6333</v>
      </c>
      <c r="E803" s="1" t="s">
        <v>8028</v>
      </c>
      <c r="F803" s="1" t="s">
        <v>17</v>
      </c>
      <c r="G803" s="4" t="str">
        <f>"08701"</f>
        <v>08701</v>
      </c>
      <c r="H803" s="1">
        <v>0</v>
      </c>
      <c r="I803" s="1">
        <v>0</v>
      </c>
      <c r="J803" s="1">
        <v>0</v>
      </c>
      <c r="K803" s="1">
        <v>0</v>
      </c>
      <c r="L803" s="1" t="s">
        <v>2025</v>
      </c>
      <c r="M803" s="1" t="s">
        <v>6341</v>
      </c>
      <c r="N803" s="1" t="s">
        <v>13</v>
      </c>
      <c r="O803" s="1" t="s">
        <v>6342</v>
      </c>
    </row>
    <row r="804" spans="1:15" x14ac:dyDescent="0.4">
      <c r="A804" s="1" t="s">
        <v>4282</v>
      </c>
      <c r="B804" s="1" t="s">
        <v>4235</v>
      </c>
      <c r="C804" s="1" t="s">
        <v>4285</v>
      </c>
      <c r="D804" s="1" t="s">
        <v>4239</v>
      </c>
      <c r="E804" s="1" t="s">
        <v>8026</v>
      </c>
      <c r="F804" s="1" t="s">
        <v>17</v>
      </c>
      <c r="G804" s="4" t="str">
        <f>"08610-6632"</f>
        <v>08610-6632</v>
      </c>
      <c r="H804" s="1">
        <v>0</v>
      </c>
      <c r="I804" s="1">
        <v>0</v>
      </c>
      <c r="J804" s="1">
        <v>0</v>
      </c>
      <c r="K804" s="1">
        <v>46</v>
      </c>
      <c r="L804" s="1" t="s">
        <v>38</v>
      </c>
      <c r="M804" s="1" t="s">
        <v>4283</v>
      </c>
      <c r="N804" s="1" t="s">
        <v>13</v>
      </c>
      <c r="O804" s="1" t="s">
        <v>4284</v>
      </c>
    </row>
    <row r="805" spans="1:15" x14ac:dyDescent="0.4">
      <c r="A805" s="1" t="s">
        <v>7818</v>
      </c>
      <c r="B805" s="1" t="s">
        <v>7808</v>
      </c>
      <c r="C805" s="1" t="s">
        <v>7822</v>
      </c>
      <c r="D805" s="1" t="s">
        <v>7809</v>
      </c>
      <c r="E805" s="1" t="s">
        <v>7833</v>
      </c>
      <c r="F805" s="1" t="s">
        <v>17</v>
      </c>
      <c r="G805" s="4" t="str">
        <f>"07090"</f>
        <v>07090</v>
      </c>
      <c r="H805" s="1">
        <v>0</v>
      </c>
      <c r="I805" s="1">
        <v>0</v>
      </c>
      <c r="J805" s="1">
        <v>0</v>
      </c>
      <c r="K805" s="1">
        <v>0</v>
      </c>
      <c r="L805" s="1" t="s">
        <v>7819</v>
      </c>
      <c r="M805" s="1" t="s">
        <v>7820</v>
      </c>
      <c r="N805" s="1" t="s">
        <v>13</v>
      </c>
      <c r="O805" s="1" t="s">
        <v>7821</v>
      </c>
    </row>
    <row r="806" spans="1:15" x14ac:dyDescent="0.4">
      <c r="A806" s="1" t="s">
        <v>8044</v>
      </c>
      <c r="B806" s="1" t="s">
        <v>5297</v>
      </c>
      <c r="C806" s="1" t="s">
        <v>5325</v>
      </c>
      <c r="D806" s="1" t="s">
        <v>5301</v>
      </c>
      <c r="E806" s="1" t="s">
        <v>8027</v>
      </c>
      <c r="F806" s="1" t="s">
        <v>17</v>
      </c>
      <c r="G806" s="4" t="str">
        <f>"07731-8700"</f>
        <v>07731-8700</v>
      </c>
      <c r="H806" s="1">
        <v>0</v>
      </c>
      <c r="I806" s="1">
        <v>0</v>
      </c>
      <c r="J806" s="1">
        <v>0</v>
      </c>
      <c r="K806" s="1">
        <v>81</v>
      </c>
      <c r="L806" s="1" t="s">
        <v>62</v>
      </c>
      <c r="M806" s="1" t="s">
        <v>2914</v>
      </c>
      <c r="N806" s="1" t="s">
        <v>13</v>
      </c>
      <c r="O806" s="1" t="s">
        <v>5324</v>
      </c>
    </row>
    <row r="807" spans="1:15" x14ac:dyDescent="0.4">
      <c r="A807" s="1" t="s">
        <v>6263</v>
      </c>
      <c r="B807" s="1" t="s">
        <v>6241</v>
      </c>
      <c r="C807" s="1" t="s">
        <v>6266</v>
      </c>
      <c r="D807" s="1" t="s">
        <v>6251</v>
      </c>
      <c r="E807" s="1" t="s">
        <v>8028</v>
      </c>
      <c r="F807" s="1" t="s">
        <v>17</v>
      </c>
      <c r="G807" s="4" t="str">
        <f>"08724-1445"</f>
        <v>08724-1445</v>
      </c>
      <c r="H807" s="1">
        <v>0</v>
      </c>
      <c r="I807" s="1">
        <v>0</v>
      </c>
      <c r="J807" s="1">
        <v>0</v>
      </c>
      <c r="K807" s="1">
        <v>92</v>
      </c>
      <c r="L807" s="1" t="s">
        <v>488</v>
      </c>
      <c r="M807" s="1" t="s">
        <v>6264</v>
      </c>
      <c r="N807" s="1" t="s">
        <v>1183</v>
      </c>
      <c r="O807" s="1" t="s">
        <v>6265</v>
      </c>
    </row>
    <row r="808" spans="1:15" x14ac:dyDescent="0.4">
      <c r="A808" s="1" t="s">
        <v>4286</v>
      </c>
      <c r="B808" s="1" t="s">
        <v>4235</v>
      </c>
      <c r="C808" s="1" t="s">
        <v>4288</v>
      </c>
      <c r="D808" s="1" t="s">
        <v>4239</v>
      </c>
      <c r="E808" s="1" t="s">
        <v>8026</v>
      </c>
      <c r="F808" s="1" t="s">
        <v>17</v>
      </c>
      <c r="G808" s="4" t="str">
        <f>"08690-3142"</f>
        <v>08690-3142</v>
      </c>
      <c r="H808" s="1">
        <v>0</v>
      </c>
      <c r="I808" s="1">
        <v>0</v>
      </c>
      <c r="J808" s="1">
        <v>0</v>
      </c>
      <c r="K808" s="1">
        <v>48</v>
      </c>
      <c r="L808" s="1" t="s">
        <v>2197</v>
      </c>
      <c r="M808" s="1" t="s">
        <v>2746</v>
      </c>
      <c r="N808" s="1" t="s">
        <v>13</v>
      </c>
      <c r="O808" s="1" t="s">
        <v>4287</v>
      </c>
    </row>
    <row r="809" spans="1:15" x14ac:dyDescent="0.4">
      <c r="A809" s="1" t="s">
        <v>6325</v>
      </c>
      <c r="B809" s="1" t="s">
        <v>6306</v>
      </c>
      <c r="C809" s="1" t="s">
        <v>6327</v>
      </c>
      <c r="D809" s="1" t="s">
        <v>6311</v>
      </c>
      <c r="E809" s="1" t="s">
        <v>8028</v>
      </c>
      <c r="F809" s="1" t="s">
        <v>17</v>
      </c>
      <c r="G809" s="4" t="str">
        <f>"08734"</f>
        <v>08734</v>
      </c>
      <c r="H809" s="1">
        <v>0</v>
      </c>
      <c r="I809" s="1">
        <v>0</v>
      </c>
      <c r="J809" s="1">
        <v>0</v>
      </c>
      <c r="K809" s="1">
        <v>0</v>
      </c>
      <c r="L809" s="1" t="s">
        <v>671</v>
      </c>
      <c r="M809" s="1" t="s">
        <v>2529</v>
      </c>
      <c r="N809" s="1" t="s">
        <v>13</v>
      </c>
      <c r="O809" s="1" t="s">
        <v>6326</v>
      </c>
    </row>
    <row r="810" spans="1:15" x14ac:dyDescent="0.4">
      <c r="A810" s="1" t="s">
        <v>5243</v>
      </c>
      <c r="B810" s="1" t="s">
        <v>5225</v>
      </c>
      <c r="C810" s="1" t="s">
        <v>5246</v>
      </c>
      <c r="D810" s="1" t="s">
        <v>5198</v>
      </c>
      <c r="E810" s="1" t="s">
        <v>8027</v>
      </c>
      <c r="F810" s="1" t="s">
        <v>17</v>
      </c>
      <c r="G810" s="4" t="str">
        <f>"07728-3198"</f>
        <v>07728-3198</v>
      </c>
      <c r="H810" s="1">
        <v>0</v>
      </c>
      <c r="I810" s="1">
        <v>0</v>
      </c>
      <c r="J810" s="1">
        <v>0</v>
      </c>
      <c r="K810" s="1">
        <v>63</v>
      </c>
      <c r="L810" s="1" t="s">
        <v>38</v>
      </c>
      <c r="M810" s="1" t="s">
        <v>5244</v>
      </c>
      <c r="N810" s="1" t="s">
        <v>13</v>
      </c>
      <c r="O810" s="1" t="s">
        <v>5245</v>
      </c>
    </row>
    <row r="811" spans="1:15" x14ac:dyDescent="0.4">
      <c r="A811" s="1" t="s">
        <v>2155</v>
      </c>
      <c r="B811" s="1" t="s">
        <v>2154</v>
      </c>
      <c r="C811" s="1" t="s">
        <v>2157</v>
      </c>
      <c r="D811" s="1" t="s">
        <v>2158</v>
      </c>
      <c r="E811" s="1" t="s">
        <v>1909</v>
      </c>
      <c r="F811" s="1" t="s">
        <v>17</v>
      </c>
      <c r="G811" s="4" t="str">
        <f>"08021"</f>
        <v>08021</v>
      </c>
      <c r="H811" s="1">
        <v>0</v>
      </c>
      <c r="I811" s="1">
        <v>0</v>
      </c>
      <c r="J811" s="1">
        <v>0</v>
      </c>
      <c r="K811" s="1">
        <v>25</v>
      </c>
      <c r="L811" s="1" t="s">
        <v>42</v>
      </c>
      <c r="M811" s="1" t="s">
        <v>1483</v>
      </c>
      <c r="N811" s="1" t="s">
        <v>13</v>
      </c>
      <c r="O811" s="1" t="s">
        <v>2156</v>
      </c>
    </row>
    <row r="812" spans="1:15" x14ac:dyDescent="0.4">
      <c r="A812" s="1" t="s">
        <v>4562</v>
      </c>
      <c r="B812" s="1" t="s">
        <v>4545</v>
      </c>
      <c r="C812" s="1" t="s">
        <v>4565</v>
      </c>
      <c r="D812" s="1" t="s">
        <v>4546</v>
      </c>
      <c r="E812" s="1" t="s">
        <v>4704</v>
      </c>
      <c r="F812" s="1" t="s">
        <v>17</v>
      </c>
      <c r="G812" s="4" t="str">
        <f>"08816"</f>
        <v>08816</v>
      </c>
      <c r="H812" s="1">
        <v>0</v>
      </c>
      <c r="I812" s="1">
        <v>0</v>
      </c>
      <c r="J812" s="1">
        <v>0</v>
      </c>
      <c r="K812" s="1">
        <v>63</v>
      </c>
      <c r="L812" s="1" t="s">
        <v>127</v>
      </c>
      <c r="M812" s="1" t="s">
        <v>4563</v>
      </c>
      <c r="N812" s="1" t="s">
        <v>1183</v>
      </c>
      <c r="O812" s="1" t="s">
        <v>4564</v>
      </c>
    </row>
    <row r="813" spans="1:15" x14ac:dyDescent="0.4">
      <c r="A813" s="1" t="s">
        <v>4340</v>
      </c>
      <c r="B813" s="1" t="s">
        <v>4337</v>
      </c>
      <c r="C813" s="1" t="s">
        <v>4344</v>
      </c>
      <c r="D813" s="1" t="s">
        <v>4339</v>
      </c>
      <c r="E813" s="1" t="s">
        <v>8026</v>
      </c>
      <c r="F813" s="1" t="s">
        <v>17</v>
      </c>
      <c r="G813" s="4" t="str">
        <f>"08648-2804"</f>
        <v>08648-2804</v>
      </c>
      <c r="H813" s="1">
        <v>0</v>
      </c>
      <c r="I813" s="1">
        <v>0</v>
      </c>
      <c r="J813" s="1">
        <v>0</v>
      </c>
      <c r="K813" s="1">
        <v>0</v>
      </c>
      <c r="L813" s="1" t="s">
        <v>4341</v>
      </c>
      <c r="M813" s="1" t="s">
        <v>4342</v>
      </c>
      <c r="N813" s="1" t="s">
        <v>13</v>
      </c>
      <c r="O813" s="1" t="s">
        <v>4343</v>
      </c>
    </row>
    <row r="814" spans="1:15" x14ac:dyDescent="0.4">
      <c r="A814" s="1" t="s">
        <v>4345</v>
      </c>
      <c r="B814" s="1" t="s">
        <v>4337</v>
      </c>
      <c r="C814" s="1" t="s">
        <v>4348</v>
      </c>
      <c r="D814" s="1" t="s">
        <v>4339</v>
      </c>
      <c r="E814" s="1" t="s">
        <v>8026</v>
      </c>
      <c r="F814" s="1" t="s">
        <v>17</v>
      </c>
      <c r="G814" s="4" t="str">
        <f>"08648-3938"</f>
        <v>08648-3938</v>
      </c>
      <c r="H814" s="1">
        <v>0</v>
      </c>
      <c r="I814" s="1">
        <v>0</v>
      </c>
      <c r="J814" s="1">
        <v>0</v>
      </c>
      <c r="K814" s="1">
        <v>0</v>
      </c>
      <c r="L814" s="1" t="s">
        <v>1587</v>
      </c>
      <c r="M814" s="1" t="s">
        <v>4346</v>
      </c>
      <c r="N814" s="1" t="s">
        <v>13</v>
      </c>
      <c r="O814" s="1" t="s">
        <v>4347</v>
      </c>
    </row>
    <row r="815" spans="1:15" x14ac:dyDescent="0.4">
      <c r="A815" s="1" t="s">
        <v>7776</v>
      </c>
      <c r="B815" s="1" t="s">
        <v>7766</v>
      </c>
      <c r="C815" s="1" t="s">
        <v>7779</v>
      </c>
      <c r="D815" s="1" t="s">
        <v>7771</v>
      </c>
      <c r="E815" s="1" t="s">
        <v>7833</v>
      </c>
      <c r="F815" s="1" t="s">
        <v>17</v>
      </c>
      <c r="G815" s="4" t="str">
        <f>"07901-2526"</f>
        <v>07901-2526</v>
      </c>
      <c r="H815" s="1">
        <v>0</v>
      </c>
      <c r="I815" s="1">
        <v>0</v>
      </c>
      <c r="J815" s="1">
        <v>0</v>
      </c>
      <c r="K815" s="1">
        <v>0</v>
      </c>
      <c r="L815" s="1" t="s">
        <v>434</v>
      </c>
      <c r="M815" s="1" t="s">
        <v>7777</v>
      </c>
      <c r="N815" s="1" t="s">
        <v>13</v>
      </c>
      <c r="O815" s="1" t="s">
        <v>7778</v>
      </c>
    </row>
    <row r="816" spans="1:15" x14ac:dyDescent="0.4">
      <c r="A816" s="1" t="s">
        <v>2616</v>
      </c>
      <c r="B816" s="1" t="s">
        <v>2616</v>
      </c>
      <c r="C816" s="1" t="s">
        <v>2619</v>
      </c>
      <c r="D816" s="1" t="s">
        <v>2153</v>
      </c>
      <c r="E816" s="1" t="s">
        <v>8022</v>
      </c>
      <c r="F816" s="1" t="s">
        <v>17</v>
      </c>
      <c r="G816" s="4" t="str">
        <f>"07103-2402"</f>
        <v>07103-2402</v>
      </c>
      <c r="H816" s="1">
        <v>0</v>
      </c>
      <c r="I816" s="1">
        <v>0</v>
      </c>
      <c r="J816" s="1">
        <v>0</v>
      </c>
      <c r="K816" s="1">
        <v>0</v>
      </c>
      <c r="L816" s="1" t="s">
        <v>2617</v>
      </c>
      <c r="M816" s="1" t="s">
        <v>663</v>
      </c>
      <c r="N816" s="1" t="s">
        <v>129</v>
      </c>
      <c r="O816" s="1" t="s">
        <v>2618</v>
      </c>
    </row>
    <row r="817" spans="1:15" x14ac:dyDescent="0.4">
      <c r="A817" s="1" t="s">
        <v>2622</v>
      </c>
      <c r="B817" s="1" t="s">
        <v>2621</v>
      </c>
      <c r="C817" s="1" t="s">
        <v>2626</v>
      </c>
      <c r="D817" s="1" t="s">
        <v>1810</v>
      </c>
      <c r="E817" s="1" t="s">
        <v>8022</v>
      </c>
      <c r="F817" s="1" t="s">
        <v>17</v>
      </c>
      <c r="G817" s="4" t="str">
        <f>"08102"</f>
        <v>08102</v>
      </c>
      <c r="H817" s="1">
        <v>0</v>
      </c>
      <c r="I817" s="1">
        <v>0</v>
      </c>
      <c r="J817" s="1">
        <v>0</v>
      </c>
      <c r="K817" s="1">
        <v>122</v>
      </c>
      <c r="L817" s="1" t="s">
        <v>2623</v>
      </c>
      <c r="M817" s="1" t="s">
        <v>2624</v>
      </c>
      <c r="N817" s="1" t="s">
        <v>91</v>
      </c>
      <c r="O817" s="1" t="s">
        <v>2625</v>
      </c>
    </row>
    <row r="818" spans="1:15" x14ac:dyDescent="0.4">
      <c r="A818" s="1" t="s">
        <v>1520</v>
      </c>
      <c r="B818" s="1" t="s">
        <v>1514</v>
      </c>
      <c r="C818" s="1" t="s">
        <v>1524</v>
      </c>
      <c r="D818" s="1" t="s">
        <v>1525</v>
      </c>
      <c r="E818" s="1" t="s">
        <v>8019</v>
      </c>
      <c r="F818" s="1" t="s">
        <v>17</v>
      </c>
      <c r="G818" s="4" t="str">
        <f>"08055"</f>
        <v>08055</v>
      </c>
      <c r="H818" s="1">
        <v>0</v>
      </c>
      <c r="I818" s="1">
        <v>0</v>
      </c>
      <c r="J818" s="1">
        <v>0</v>
      </c>
      <c r="K818" s="1">
        <v>0</v>
      </c>
      <c r="L818" s="1" t="s">
        <v>1521</v>
      </c>
      <c r="M818" s="1" t="s">
        <v>1522</v>
      </c>
      <c r="N818" s="1" t="s">
        <v>13</v>
      </c>
      <c r="O818" s="1" t="s">
        <v>1523</v>
      </c>
    </row>
    <row r="819" spans="1:15" x14ac:dyDescent="0.4">
      <c r="A819" s="1" t="s">
        <v>813</v>
      </c>
      <c r="B819" s="1" t="s">
        <v>801</v>
      </c>
      <c r="C819" s="1" t="s">
        <v>816</v>
      </c>
      <c r="D819" s="1" t="s">
        <v>806</v>
      </c>
      <c r="E819" s="1" t="s">
        <v>8018</v>
      </c>
      <c r="F819" s="1" t="s">
        <v>17</v>
      </c>
      <c r="G819" s="4" t="str">
        <f>"07430"</f>
        <v>07430</v>
      </c>
      <c r="H819" s="1">
        <v>0</v>
      </c>
      <c r="I819" s="1">
        <v>0</v>
      </c>
      <c r="J819" s="1">
        <v>0</v>
      </c>
      <c r="K819" s="1">
        <v>76</v>
      </c>
      <c r="L819" s="1" t="s">
        <v>563</v>
      </c>
      <c r="M819" s="1" t="s">
        <v>814</v>
      </c>
      <c r="N819" s="1" t="s">
        <v>13</v>
      </c>
      <c r="O819" s="1" t="s">
        <v>815</v>
      </c>
    </row>
    <row r="820" spans="1:15" x14ac:dyDescent="0.4">
      <c r="A820" s="1" t="s">
        <v>7333</v>
      </c>
      <c r="B820" s="1" t="s">
        <v>7332</v>
      </c>
      <c r="C820" s="1" t="s">
        <v>7336</v>
      </c>
      <c r="D820" s="1" t="s">
        <v>7296</v>
      </c>
      <c r="E820" s="1" t="s">
        <v>8030</v>
      </c>
      <c r="F820" s="1" t="s">
        <v>17</v>
      </c>
      <c r="G820" s="4" t="str">
        <f>"07874"</f>
        <v>07874</v>
      </c>
      <c r="H820" s="1">
        <v>0</v>
      </c>
      <c r="I820" s="1">
        <v>0</v>
      </c>
      <c r="J820" s="1">
        <v>0</v>
      </c>
      <c r="K820" s="1">
        <v>0</v>
      </c>
      <c r="L820" s="1" t="s">
        <v>1843</v>
      </c>
      <c r="M820" s="1" t="s">
        <v>7334</v>
      </c>
      <c r="N820" s="1" t="s">
        <v>13</v>
      </c>
      <c r="O820" s="1" t="s">
        <v>7335</v>
      </c>
    </row>
    <row r="821" spans="1:15" x14ac:dyDescent="0.4">
      <c r="A821" s="1" t="s">
        <v>6819</v>
      </c>
      <c r="B821" s="1" t="s">
        <v>6813</v>
      </c>
      <c r="C821" s="1" t="s">
        <v>6821</v>
      </c>
      <c r="D821" s="1" t="s">
        <v>6818</v>
      </c>
      <c r="E821" s="1" t="s">
        <v>2670</v>
      </c>
      <c r="F821" s="1" t="s">
        <v>17</v>
      </c>
      <c r="G821" s="4" t="str">
        <f>"07442-1729"</f>
        <v>07442-1729</v>
      </c>
      <c r="H821" s="1">
        <v>0</v>
      </c>
      <c r="I821" s="1">
        <v>0</v>
      </c>
      <c r="J821" s="1">
        <v>0</v>
      </c>
      <c r="K821" s="1">
        <v>65</v>
      </c>
      <c r="L821" s="1" t="s">
        <v>158</v>
      </c>
      <c r="M821" s="1" t="s">
        <v>1848</v>
      </c>
      <c r="N821" s="1" t="s">
        <v>13</v>
      </c>
      <c r="O821" s="1" t="s">
        <v>6820</v>
      </c>
    </row>
    <row r="822" spans="1:15" x14ac:dyDescent="0.4">
      <c r="A822" s="1" t="s">
        <v>7718</v>
      </c>
      <c r="B822" s="1" t="s">
        <v>7702</v>
      </c>
      <c r="C822" s="1" t="s">
        <v>7722</v>
      </c>
      <c r="D822" s="1" t="s">
        <v>7707</v>
      </c>
      <c r="E822" s="1" t="s">
        <v>7833</v>
      </c>
      <c r="F822" s="1" t="s">
        <v>17</v>
      </c>
      <c r="G822" s="4" t="str">
        <f>"07203-1919"</f>
        <v>07203-1919</v>
      </c>
      <c r="H822" s="1">
        <v>0</v>
      </c>
      <c r="I822" s="1">
        <v>0</v>
      </c>
      <c r="J822" s="1">
        <v>0</v>
      </c>
      <c r="K822" s="1">
        <v>0</v>
      </c>
      <c r="L822" s="1" t="s">
        <v>7719</v>
      </c>
      <c r="M822" s="1" t="s">
        <v>7720</v>
      </c>
      <c r="N822" s="1" t="s">
        <v>13</v>
      </c>
      <c r="O822" s="1" t="s">
        <v>7721</v>
      </c>
    </row>
    <row r="823" spans="1:15" x14ac:dyDescent="0.4">
      <c r="A823" s="1" t="s">
        <v>5482</v>
      </c>
      <c r="B823" s="1" t="s">
        <v>5469</v>
      </c>
      <c r="C823" s="1" t="s">
        <v>5484</v>
      </c>
      <c r="D823" s="1" t="s">
        <v>5473</v>
      </c>
      <c r="E823" s="1" t="s">
        <v>8027</v>
      </c>
      <c r="F823" s="1" t="s">
        <v>17</v>
      </c>
      <c r="G823" s="4" t="str">
        <f>"07737-1797"</f>
        <v>07737-1797</v>
      </c>
      <c r="H823" s="1">
        <v>0</v>
      </c>
      <c r="I823" s="1">
        <v>0</v>
      </c>
      <c r="J823" s="1">
        <v>0</v>
      </c>
      <c r="K823" s="1">
        <v>48</v>
      </c>
      <c r="L823" s="1" t="s">
        <v>490</v>
      </c>
      <c r="M823" s="1" t="s">
        <v>421</v>
      </c>
      <c r="N823" s="1" t="s">
        <v>13</v>
      </c>
      <c r="O823" s="1" t="s">
        <v>5483</v>
      </c>
    </row>
    <row r="824" spans="1:15" x14ac:dyDescent="0.4">
      <c r="A824" s="1" t="s">
        <v>749</v>
      </c>
      <c r="B824" s="1" t="s">
        <v>745</v>
      </c>
      <c r="C824" s="1" t="s">
        <v>752</v>
      </c>
      <c r="D824" s="1" t="s">
        <v>746</v>
      </c>
      <c r="E824" s="1" t="s">
        <v>8018</v>
      </c>
      <c r="F824" s="1" t="s">
        <v>17</v>
      </c>
      <c r="G824" s="4" t="str">
        <f>"07605-1525"</f>
        <v>07605-1525</v>
      </c>
      <c r="H824" s="1">
        <v>0</v>
      </c>
      <c r="I824" s="1">
        <v>0</v>
      </c>
      <c r="J824" s="1">
        <v>0</v>
      </c>
      <c r="K824" s="1">
        <v>0</v>
      </c>
      <c r="L824" s="1" t="s">
        <v>665</v>
      </c>
      <c r="M824" s="1" t="s">
        <v>750</v>
      </c>
      <c r="N824" s="1" t="s">
        <v>13</v>
      </c>
      <c r="O824" s="1" t="s">
        <v>751</v>
      </c>
    </row>
    <row r="825" spans="1:15" x14ac:dyDescent="0.4">
      <c r="A825" s="1" t="s">
        <v>754</v>
      </c>
      <c r="B825" s="1" t="s">
        <v>745</v>
      </c>
      <c r="C825" s="1" t="s">
        <v>757</v>
      </c>
      <c r="D825" s="1" t="s">
        <v>746</v>
      </c>
      <c r="E825" s="1" t="s">
        <v>8018</v>
      </c>
      <c r="F825" s="1" t="s">
        <v>17</v>
      </c>
      <c r="G825" s="4" t="str">
        <f>"07605"</f>
        <v>07605</v>
      </c>
      <c r="H825" s="1">
        <v>0</v>
      </c>
      <c r="I825" s="1">
        <v>0</v>
      </c>
      <c r="J825" s="1">
        <v>0</v>
      </c>
      <c r="K825" s="1">
        <v>0</v>
      </c>
      <c r="L825" s="1" t="s">
        <v>128</v>
      </c>
      <c r="M825" s="1" t="s">
        <v>755</v>
      </c>
      <c r="N825" s="1" t="s">
        <v>13</v>
      </c>
      <c r="O825" s="1" t="s">
        <v>756</v>
      </c>
    </row>
    <row r="826" spans="1:15" x14ac:dyDescent="0.4">
      <c r="A826" s="1" t="s">
        <v>4825</v>
      </c>
      <c r="B826" s="1" t="s">
        <v>4808</v>
      </c>
      <c r="C826" s="1" t="s">
        <v>4827</v>
      </c>
      <c r="D826" s="1" t="s">
        <v>4828</v>
      </c>
      <c r="E826" s="1" t="s">
        <v>4704</v>
      </c>
      <c r="F826" s="1" t="s">
        <v>17</v>
      </c>
      <c r="G826" s="4" t="str">
        <f>"07735-6123"</f>
        <v>07735-6123</v>
      </c>
      <c r="H826" s="1">
        <v>0</v>
      </c>
      <c r="I826" s="1">
        <v>0</v>
      </c>
      <c r="J826" s="1">
        <v>0</v>
      </c>
      <c r="K826" s="1">
        <v>25</v>
      </c>
      <c r="L826" s="1" t="s">
        <v>4359</v>
      </c>
      <c r="M826" s="1" t="s">
        <v>3156</v>
      </c>
      <c r="N826" s="1" t="s">
        <v>13</v>
      </c>
      <c r="O826" s="1" t="s">
        <v>4826</v>
      </c>
    </row>
    <row r="827" spans="1:15" x14ac:dyDescent="0.4">
      <c r="A827" s="1" t="s">
        <v>3425</v>
      </c>
      <c r="B827" s="1" t="s">
        <v>3424</v>
      </c>
      <c r="C827" s="1" t="s">
        <v>2940</v>
      </c>
      <c r="D827" s="1" t="s">
        <v>3429</v>
      </c>
      <c r="E827" s="1" t="s">
        <v>8024</v>
      </c>
      <c r="F827" s="1" t="s">
        <v>17</v>
      </c>
      <c r="G827" s="4" t="str">
        <f>"07068"</f>
        <v>07068</v>
      </c>
      <c r="H827" s="1">
        <v>0</v>
      </c>
      <c r="I827" s="1">
        <v>0</v>
      </c>
      <c r="J827" s="1">
        <v>0</v>
      </c>
      <c r="K827" s="1">
        <v>58</v>
      </c>
      <c r="L827" s="1" t="s">
        <v>3426</v>
      </c>
      <c r="M827" s="1" t="s">
        <v>3427</v>
      </c>
      <c r="N827" s="1" t="s">
        <v>13</v>
      </c>
      <c r="O827" s="1" t="s">
        <v>3428</v>
      </c>
    </row>
    <row r="828" spans="1:15" x14ac:dyDescent="0.4">
      <c r="A828" s="1" t="s">
        <v>616</v>
      </c>
      <c r="B828" s="1" t="s">
        <v>609</v>
      </c>
      <c r="C828" s="1" t="s">
        <v>618</v>
      </c>
      <c r="D828" s="1" t="s">
        <v>615</v>
      </c>
      <c r="E828" s="1" t="s">
        <v>8018</v>
      </c>
      <c r="F828" s="1" t="s">
        <v>17</v>
      </c>
      <c r="G828" s="4" t="str">
        <f>"07024-2140"</f>
        <v>07024-2140</v>
      </c>
      <c r="H828" s="1">
        <v>0</v>
      </c>
      <c r="I828" s="1">
        <v>0</v>
      </c>
      <c r="J828" s="1">
        <v>0</v>
      </c>
      <c r="K828" s="1">
        <v>0</v>
      </c>
      <c r="L828" s="1" t="s">
        <v>356</v>
      </c>
      <c r="M828" s="1" t="s">
        <v>298</v>
      </c>
      <c r="N828" s="1" t="s">
        <v>13</v>
      </c>
      <c r="O828" s="1" t="s">
        <v>617</v>
      </c>
    </row>
    <row r="829" spans="1:15" x14ac:dyDescent="0.4">
      <c r="A829" s="1" t="s">
        <v>7048</v>
      </c>
      <c r="B829" s="1" t="s">
        <v>7043</v>
      </c>
      <c r="C829" s="1" t="s">
        <v>7051</v>
      </c>
      <c r="D829" s="1" t="s">
        <v>7052</v>
      </c>
      <c r="E829" s="1" t="s">
        <v>2471</v>
      </c>
      <c r="F829" s="1" t="s">
        <v>17</v>
      </c>
      <c r="G829" s="4" t="str">
        <f>"07938"</f>
        <v>07938</v>
      </c>
      <c r="H829" s="1">
        <v>0</v>
      </c>
      <c r="I829" s="1">
        <v>0</v>
      </c>
      <c r="J829" s="1">
        <v>0</v>
      </c>
      <c r="K829" s="1">
        <v>78</v>
      </c>
      <c r="L829" s="1" t="s">
        <v>34</v>
      </c>
      <c r="M829" s="1" t="s">
        <v>7049</v>
      </c>
      <c r="N829" s="1" t="s">
        <v>13</v>
      </c>
      <c r="O829" s="1" t="s">
        <v>7050</v>
      </c>
    </row>
    <row r="830" spans="1:15" x14ac:dyDescent="0.4">
      <c r="A830" s="1" t="s">
        <v>3929</v>
      </c>
      <c r="B830" s="1" t="s">
        <v>3883</v>
      </c>
      <c r="C830" s="1" t="s">
        <v>3932</v>
      </c>
      <c r="D830" s="1" t="s">
        <v>2605</v>
      </c>
      <c r="E830" s="1" t="s">
        <v>3646</v>
      </c>
      <c r="F830" s="1" t="s">
        <v>17</v>
      </c>
      <c r="G830" s="4" t="str">
        <f>"07306"</f>
        <v>07306</v>
      </c>
      <c r="H830" s="1">
        <v>0</v>
      </c>
      <c r="I830" s="1">
        <v>0</v>
      </c>
      <c r="J830" s="1">
        <v>0</v>
      </c>
      <c r="K830" s="1">
        <v>0</v>
      </c>
      <c r="L830" s="1" t="s">
        <v>1809</v>
      </c>
      <c r="M830" s="1" t="s">
        <v>3930</v>
      </c>
      <c r="N830" s="1" t="s">
        <v>13</v>
      </c>
      <c r="O830" s="1" t="s">
        <v>3931</v>
      </c>
    </row>
    <row r="831" spans="1:15" x14ac:dyDescent="0.4">
      <c r="A831" s="1" t="s">
        <v>3514</v>
      </c>
      <c r="B831" s="1" t="s">
        <v>3497</v>
      </c>
      <c r="C831" s="1" t="s">
        <v>3518</v>
      </c>
      <c r="D831" s="1" t="s">
        <v>3519</v>
      </c>
      <c r="E831" s="1" t="s">
        <v>8024</v>
      </c>
      <c r="F831" s="1" t="s">
        <v>17</v>
      </c>
      <c r="G831" s="4" t="str">
        <f>"07052"</f>
        <v>07052</v>
      </c>
      <c r="H831" s="1">
        <v>0</v>
      </c>
      <c r="I831" s="1">
        <v>0</v>
      </c>
      <c r="J831" s="1">
        <v>0</v>
      </c>
      <c r="K831" s="1">
        <v>0</v>
      </c>
      <c r="L831" s="1" t="s">
        <v>3515</v>
      </c>
      <c r="M831" s="1" t="s">
        <v>3516</v>
      </c>
      <c r="N831" s="1" t="s">
        <v>13</v>
      </c>
      <c r="O831" s="1" t="s">
        <v>3517</v>
      </c>
    </row>
    <row r="832" spans="1:15" x14ac:dyDescent="0.4">
      <c r="A832" s="1" t="s">
        <v>305</v>
      </c>
      <c r="B832" s="1" t="s">
        <v>291</v>
      </c>
      <c r="C832" s="1" t="s">
        <v>296</v>
      </c>
      <c r="D832" s="1" t="s">
        <v>297</v>
      </c>
      <c r="E832" s="1" t="s">
        <v>8018</v>
      </c>
      <c r="F832" s="1" t="s">
        <v>17</v>
      </c>
      <c r="G832" s="4" t="str">
        <f>"07652-4832"</f>
        <v>07652-4832</v>
      </c>
      <c r="H832" s="1">
        <v>0</v>
      </c>
      <c r="I832" s="1">
        <v>0</v>
      </c>
      <c r="J832" s="1">
        <v>0</v>
      </c>
      <c r="K832" s="1">
        <v>0</v>
      </c>
      <c r="L832" s="1" t="s">
        <v>306</v>
      </c>
      <c r="M832" s="1" t="s">
        <v>307</v>
      </c>
      <c r="N832" s="1" t="s">
        <v>13</v>
      </c>
      <c r="O832" s="1" t="s">
        <v>308</v>
      </c>
    </row>
    <row r="833" spans="1:15" x14ac:dyDescent="0.4">
      <c r="A833" s="1" t="s">
        <v>5266</v>
      </c>
      <c r="B833" s="1" t="s">
        <v>5251</v>
      </c>
      <c r="C833" s="1" t="s">
        <v>5270</v>
      </c>
      <c r="D833" s="1" t="s">
        <v>5257</v>
      </c>
      <c r="E833" s="1" t="s">
        <v>8027</v>
      </c>
      <c r="F833" s="1" t="s">
        <v>17</v>
      </c>
      <c r="G833" s="4" t="str">
        <f>"07730-2631"</f>
        <v>07730-2631</v>
      </c>
      <c r="H833" s="1">
        <v>0</v>
      </c>
      <c r="I833" s="1">
        <v>0</v>
      </c>
      <c r="J833" s="1">
        <v>0</v>
      </c>
      <c r="K833" s="1">
        <v>0</v>
      </c>
      <c r="L833" s="1" t="s">
        <v>5267</v>
      </c>
      <c r="M833" s="1" t="s">
        <v>5268</v>
      </c>
      <c r="N833" s="1" t="s">
        <v>13</v>
      </c>
      <c r="O833" s="1" t="s">
        <v>5269</v>
      </c>
    </row>
    <row r="834" spans="1:15" x14ac:dyDescent="0.4">
      <c r="A834" s="1" t="s">
        <v>3018</v>
      </c>
      <c r="B834" s="1" t="s">
        <v>7548</v>
      </c>
      <c r="C834" s="1" t="s">
        <v>7550</v>
      </c>
      <c r="D834" s="1" t="s">
        <v>7551</v>
      </c>
      <c r="E834" s="1" t="s">
        <v>7833</v>
      </c>
      <c r="F834" s="1" t="s">
        <v>17</v>
      </c>
      <c r="G834" s="4" t="str">
        <f>"07027"</f>
        <v>07027</v>
      </c>
      <c r="H834" s="1">
        <v>0</v>
      </c>
      <c r="I834" s="1">
        <v>0</v>
      </c>
      <c r="J834" s="1">
        <v>0</v>
      </c>
      <c r="K834" s="1">
        <v>39</v>
      </c>
      <c r="L834" s="1" t="s">
        <v>20</v>
      </c>
      <c r="M834" s="1" t="s">
        <v>5580</v>
      </c>
      <c r="N834" s="1" t="s">
        <v>13</v>
      </c>
      <c r="O834" s="1" t="s">
        <v>7549</v>
      </c>
    </row>
    <row r="835" spans="1:15" x14ac:dyDescent="0.4">
      <c r="A835" s="1" t="s">
        <v>3402</v>
      </c>
      <c r="B835" s="1" t="s">
        <v>3391</v>
      </c>
      <c r="C835" s="1" t="s">
        <v>3405</v>
      </c>
      <c r="D835" s="1" t="s">
        <v>3400</v>
      </c>
      <c r="E835" s="1" t="s">
        <v>8024</v>
      </c>
      <c r="F835" s="1" t="s">
        <v>17</v>
      </c>
      <c r="G835" s="4" t="str">
        <f>"07050-2605"</f>
        <v>07050-2605</v>
      </c>
      <c r="H835" s="1">
        <v>0</v>
      </c>
      <c r="I835" s="1">
        <v>0</v>
      </c>
      <c r="J835" s="1">
        <v>0</v>
      </c>
      <c r="K835" s="1">
        <v>70</v>
      </c>
      <c r="L835" s="1" t="s">
        <v>632</v>
      </c>
      <c r="M835" s="1" t="s">
        <v>3403</v>
      </c>
      <c r="N835" s="1" t="s">
        <v>13</v>
      </c>
      <c r="O835" s="1" t="s">
        <v>3404</v>
      </c>
    </row>
    <row r="836" spans="1:15" x14ac:dyDescent="0.4">
      <c r="A836" s="1" t="s">
        <v>3933</v>
      </c>
      <c r="B836" s="1" t="s">
        <v>3883</v>
      </c>
      <c r="C836" s="1" t="s">
        <v>3936</v>
      </c>
      <c r="D836" s="1" t="s">
        <v>2605</v>
      </c>
      <c r="E836" s="1" t="s">
        <v>3646</v>
      </c>
      <c r="F836" s="1" t="s">
        <v>17</v>
      </c>
      <c r="G836" s="4" t="str">
        <f>"07304-2925"</f>
        <v>07304-2925</v>
      </c>
      <c r="H836" s="1">
        <v>0</v>
      </c>
      <c r="I836" s="1">
        <v>0</v>
      </c>
      <c r="J836" s="1">
        <v>0</v>
      </c>
      <c r="K836" s="1">
        <v>0</v>
      </c>
      <c r="L836" s="1" t="s">
        <v>2344</v>
      </c>
      <c r="M836" s="1" t="s">
        <v>3934</v>
      </c>
      <c r="N836" s="1" t="s">
        <v>13</v>
      </c>
      <c r="O836" s="1" t="s">
        <v>3935</v>
      </c>
    </row>
    <row r="837" spans="1:15" x14ac:dyDescent="0.4">
      <c r="A837" s="1" t="s">
        <v>3956</v>
      </c>
      <c r="B837" s="1" t="s">
        <v>2594</v>
      </c>
      <c r="C837" s="1" t="s">
        <v>3959</v>
      </c>
      <c r="D837" s="1" t="s">
        <v>3950</v>
      </c>
      <c r="E837" s="1" t="s">
        <v>3646</v>
      </c>
      <c r="F837" s="1" t="s">
        <v>17</v>
      </c>
      <c r="G837" s="4" t="str">
        <f>"07032-2707"</f>
        <v>07032-2707</v>
      </c>
      <c r="H837" s="1">
        <v>0</v>
      </c>
      <c r="I837" s="1">
        <v>0</v>
      </c>
      <c r="J837" s="1">
        <v>0</v>
      </c>
      <c r="K837" s="1">
        <v>0</v>
      </c>
      <c r="L837" s="1" t="s">
        <v>34</v>
      </c>
      <c r="M837" s="1" t="s">
        <v>3957</v>
      </c>
      <c r="N837" s="1" t="s">
        <v>13</v>
      </c>
      <c r="O837" s="1" t="s">
        <v>3958</v>
      </c>
    </row>
    <row r="838" spans="1:15" x14ac:dyDescent="0.4">
      <c r="A838" s="1" t="s">
        <v>3956</v>
      </c>
      <c r="B838" s="1" t="s">
        <v>4537</v>
      </c>
      <c r="C838" s="1" t="s">
        <v>4544</v>
      </c>
      <c r="D838" s="1" t="s">
        <v>4541</v>
      </c>
      <c r="E838" s="1" t="s">
        <v>3646</v>
      </c>
      <c r="F838" s="1" t="s">
        <v>17</v>
      </c>
      <c r="G838" s="4" t="str">
        <f>"08812"</f>
        <v>08812</v>
      </c>
      <c r="H838" s="1">
        <v>0</v>
      </c>
      <c r="I838" s="1">
        <v>0</v>
      </c>
      <c r="J838" s="1">
        <v>0</v>
      </c>
      <c r="K838" s="1">
        <v>0</v>
      </c>
      <c r="L838" s="1" t="s">
        <v>306</v>
      </c>
      <c r="M838" s="1" t="s">
        <v>4542</v>
      </c>
      <c r="N838" s="1" t="s">
        <v>13</v>
      </c>
      <c r="O838" s="1" t="s">
        <v>4543</v>
      </c>
    </row>
    <row r="839" spans="1:15" x14ac:dyDescent="0.4">
      <c r="A839" s="1" t="s">
        <v>3956</v>
      </c>
      <c r="B839" s="1" t="s">
        <v>6582</v>
      </c>
      <c r="C839" s="1" t="s">
        <v>6590</v>
      </c>
      <c r="D839" s="1" t="s">
        <v>6587</v>
      </c>
      <c r="E839" s="1" t="s">
        <v>3646</v>
      </c>
      <c r="F839" s="1" t="s">
        <v>17</v>
      </c>
      <c r="G839" s="4" t="str">
        <f>"07506"</f>
        <v>07506</v>
      </c>
      <c r="H839" s="1">
        <v>0</v>
      </c>
      <c r="I839" s="1">
        <v>0</v>
      </c>
      <c r="J839" s="1">
        <v>0</v>
      </c>
      <c r="K839" s="1">
        <v>0</v>
      </c>
      <c r="L839" s="1" t="s">
        <v>66</v>
      </c>
      <c r="M839" s="1" t="s">
        <v>6588</v>
      </c>
      <c r="N839" s="1" t="s">
        <v>13</v>
      </c>
      <c r="O839" s="1" t="s">
        <v>6589</v>
      </c>
    </row>
    <row r="840" spans="1:15" x14ac:dyDescent="0.4">
      <c r="A840" s="1" t="s">
        <v>5852</v>
      </c>
      <c r="B840" s="1" t="s">
        <v>5850</v>
      </c>
      <c r="C840" s="1" t="s">
        <v>5855</v>
      </c>
      <c r="D840" s="1" t="s">
        <v>5851</v>
      </c>
      <c r="E840" s="1" t="s">
        <v>1503</v>
      </c>
      <c r="F840" s="1" t="s">
        <v>17</v>
      </c>
      <c r="G840" s="4" t="str">
        <f>"07035-1226"</f>
        <v>07035-1226</v>
      </c>
      <c r="H840" s="1">
        <v>0</v>
      </c>
      <c r="I840" s="1">
        <v>0</v>
      </c>
      <c r="J840" s="1">
        <v>0</v>
      </c>
      <c r="K840" s="1">
        <v>0</v>
      </c>
      <c r="L840" s="1" t="s">
        <v>128</v>
      </c>
      <c r="M840" s="1" t="s">
        <v>5853</v>
      </c>
      <c r="N840" s="1" t="s">
        <v>13</v>
      </c>
      <c r="O840" s="1" t="s">
        <v>5854</v>
      </c>
    </row>
    <row r="841" spans="1:15" x14ac:dyDescent="0.4">
      <c r="A841" s="1" t="s">
        <v>489</v>
      </c>
      <c r="B841" s="1" t="s">
        <v>481</v>
      </c>
      <c r="C841" s="1" t="s">
        <v>493</v>
      </c>
      <c r="D841" s="1" t="s">
        <v>487</v>
      </c>
      <c r="E841" s="1" t="s">
        <v>8018</v>
      </c>
      <c r="F841" s="1" t="s">
        <v>17</v>
      </c>
      <c r="G841" s="4" t="str">
        <f>"07073"</f>
        <v>07073</v>
      </c>
      <c r="H841" s="1">
        <v>0</v>
      </c>
      <c r="I841" s="1">
        <v>0</v>
      </c>
      <c r="J841" s="1">
        <v>0</v>
      </c>
      <c r="K841" s="1">
        <v>0</v>
      </c>
      <c r="L841" s="1" t="s">
        <v>490</v>
      </c>
      <c r="M841" s="1" t="s">
        <v>491</v>
      </c>
      <c r="N841" s="1" t="s">
        <v>13</v>
      </c>
      <c r="O841" s="1" t="s">
        <v>492</v>
      </c>
    </row>
    <row r="842" spans="1:15" x14ac:dyDescent="0.4">
      <c r="A842" s="1" t="s">
        <v>489</v>
      </c>
      <c r="B842" s="1" t="s">
        <v>601</v>
      </c>
      <c r="C842" s="1" t="s">
        <v>605</v>
      </c>
      <c r="D842" s="1" t="s">
        <v>606</v>
      </c>
      <c r="E842" s="1" t="s">
        <v>8018</v>
      </c>
      <c r="F842" s="1" t="s">
        <v>17</v>
      </c>
      <c r="G842" s="4" t="str">
        <f>"07022"</f>
        <v>07022</v>
      </c>
      <c r="H842" s="1">
        <v>0</v>
      </c>
      <c r="I842" s="1">
        <v>0</v>
      </c>
      <c r="J842" s="1">
        <v>0</v>
      </c>
      <c r="K842" s="1">
        <v>0</v>
      </c>
      <c r="L842" s="1" t="s">
        <v>602</v>
      </c>
      <c r="M842" s="1" t="s">
        <v>603</v>
      </c>
      <c r="N842" s="1" t="s">
        <v>13</v>
      </c>
      <c r="O842" s="1" t="s">
        <v>604</v>
      </c>
    </row>
    <row r="843" spans="1:15" x14ac:dyDescent="0.4">
      <c r="A843" s="1" t="s">
        <v>489</v>
      </c>
      <c r="B843" s="1" t="s">
        <v>1134</v>
      </c>
      <c r="C843" s="1" t="s">
        <v>1138</v>
      </c>
      <c r="D843" s="1" t="s">
        <v>1139</v>
      </c>
      <c r="E843" s="1" t="s">
        <v>8018</v>
      </c>
      <c r="F843" s="1" t="s">
        <v>17</v>
      </c>
      <c r="G843" s="4" t="str">
        <f>"07070-2218"</f>
        <v>07070-2218</v>
      </c>
      <c r="H843" s="1">
        <v>0</v>
      </c>
      <c r="I843" s="1">
        <v>0</v>
      </c>
      <c r="J843" s="1">
        <v>0</v>
      </c>
      <c r="K843" s="1">
        <v>0</v>
      </c>
      <c r="L843" s="1" t="s">
        <v>1135</v>
      </c>
      <c r="M843" s="1" t="s">
        <v>1136</v>
      </c>
      <c r="N843" s="1" t="s">
        <v>13</v>
      </c>
      <c r="O843" s="1" t="s">
        <v>1137</v>
      </c>
    </row>
    <row r="844" spans="1:15" x14ac:dyDescent="0.4">
      <c r="A844" s="1" t="s">
        <v>489</v>
      </c>
      <c r="B844" s="1" t="s">
        <v>3368</v>
      </c>
      <c r="C844" s="1" t="s">
        <v>3377</v>
      </c>
      <c r="D844" s="1" t="s">
        <v>3374</v>
      </c>
      <c r="E844" s="1" t="s">
        <v>8018</v>
      </c>
      <c r="F844" s="1" t="s">
        <v>17</v>
      </c>
      <c r="G844" s="4" t="str">
        <f>"07110-2614"</f>
        <v>07110-2614</v>
      </c>
      <c r="H844" s="1">
        <v>0</v>
      </c>
      <c r="I844" s="1">
        <v>0</v>
      </c>
      <c r="J844" s="1">
        <v>0</v>
      </c>
      <c r="K844" s="1">
        <v>0</v>
      </c>
      <c r="L844" s="1" t="s">
        <v>1173</v>
      </c>
      <c r="M844" s="1" t="s">
        <v>3375</v>
      </c>
      <c r="N844" s="1" t="s">
        <v>13</v>
      </c>
      <c r="O844" s="1" t="s">
        <v>3376</v>
      </c>
    </row>
    <row r="845" spans="1:15" x14ac:dyDescent="0.4">
      <c r="A845" s="1" t="s">
        <v>489</v>
      </c>
      <c r="B845" s="1" t="s">
        <v>6813</v>
      </c>
      <c r="C845" s="1" t="s">
        <v>6824</v>
      </c>
      <c r="D845" s="1" t="s">
        <v>6818</v>
      </c>
      <c r="E845" s="1" t="s">
        <v>8018</v>
      </c>
      <c r="F845" s="1" t="s">
        <v>17</v>
      </c>
      <c r="G845" s="4" t="str">
        <f>"07442-1490"</f>
        <v>07442-1490</v>
      </c>
      <c r="H845" s="1">
        <v>0</v>
      </c>
      <c r="I845" s="1">
        <v>0</v>
      </c>
      <c r="J845" s="1">
        <v>0</v>
      </c>
      <c r="K845" s="1">
        <v>0</v>
      </c>
      <c r="L845" s="1" t="s">
        <v>158</v>
      </c>
      <c r="M845" s="1" t="s">
        <v>6822</v>
      </c>
      <c r="N845" s="1" t="s">
        <v>13</v>
      </c>
      <c r="O845" s="1" t="s">
        <v>6823</v>
      </c>
    </row>
    <row r="846" spans="1:15" x14ac:dyDescent="0.4">
      <c r="A846" s="1" t="s">
        <v>6149</v>
      </c>
      <c r="B846" s="1" t="s">
        <v>6141</v>
      </c>
      <c r="C846" s="1" t="s">
        <v>6152</v>
      </c>
      <c r="D846" s="1" t="s">
        <v>6145</v>
      </c>
      <c r="E846" s="1" t="s">
        <v>1503</v>
      </c>
      <c r="F846" s="1" t="s">
        <v>17</v>
      </c>
      <c r="G846" s="4" t="str">
        <f>"07876-1446"</f>
        <v>07876-1446</v>
      </c>
      <c r="H846" s="1">
        <v>0</v>
      </c>
      <c r="I846" s="1">
        <v>0</v>
      </c>
      <c r="J846" s="1">
        <v>0</v>
      </c>
      <c r="K846" s="1">
        <v>0</v>
      </c>
      <c r="L846" s="1" t="s">
        <v>380</v>
      </c>
      <c r="M846" s="1" t="s">
        <v>6150</v>
      </c>
      <c r="N846" s="1" t="s">
        <v>13</v>
      </c>
      <c r="O846" s="1" t="s">
        <v>6151</v>
      </c>
    </row>
    <row r="847" spans="1:15" x14ac:dyDescent="0.4">
      <c r="A847" s="1" t="s">
        <v>7780</v>
      </c>
      <c r="B847" s="1" t="s">
        <v>7766</v>
      </c>
      <c r="C847" s="1" t="s">
        <v>7783</v>
      </c>
      <c r="D847" s="1" t="s">
        <v>7771</v>
      </c>
      <c r="E847" s="1" t="s">
        <v>7833</v>
      </c>
      <c r="F847" s="1" t="s">
        <v>17</v>
      </c>
      <c r="G847" s="4" t="str">
        <f>"07901-2101"</f>
        <v>07901-2101</v>
      </c>
      <c r="H847" s="1">
        <v>0</v>
      </c>
      <c r="I847" s="1">
        <v>0</v>
      </c>
      <c r="J847" s="1">
        <v>0</v>
      </c>
      <c r="K847" s="1">
        <v>0</v>
      </c>
      <c r="L847" s="1" t="s">
        <v>169</v>
      </c>
      <c r="M847" s="1" t="s">
        <v>7781</v>
      </c>
      <c r="N847" s="1" t="s">
        <v>1183</v>
      </c>
      <c r="O847" s="1" t="s">
        <v>7782</v>
      </c>
    </row>
    <row r="848" spans="1:15" x14ac:dyDescent="0.4">
      <c r="A848" s="1" t="s">
        <v>5485</v>
      </c>
      <c r="B848" s="1" t="s">
        <v>5469</v>
      </c>
      <c r="C848" s="1" t="s">
        <v>5488</v>
      </c>
      <c r="D848" s="1" t="s">
        <v>5489</v>
      </c>
      <c r="E848" s="1" t="s">
        <v>8027</v>
      </c>
      <c r="F848" s="1" t="s">
        <v>17</v>
      </c>
      <c r="G848" s="4" t="str">
        <f>"07738-1596"</f>
        <v>07738-1596</v>
      </c>
      <c r="H848" s="1">
        <v>0</v>
      </c>
      <c r="I848" s="1">
        <v>0</v>
      </c>
      <c r="J848" s="1">
        <v>0</v>
      </c>
      <c r="K848" s="1">
        <v>71</v>
      </c>
      <c r="L848" s="1" t="s">
        <v>50</v>
      </c>
      <c r="M848" s="1" t="s">
        <v>5486</v>
      </c>
      <c r="N848" s="1" t="s">
        <v>13</v>
      </c>
      <c r="O848" s="1" t="s">
        <v>5487</v>
      </c>
    </row>
    <row r="849" spans="1:15" x14ac:dyDescent="0.4">
      <c r="A849" s="1" t="s">
        <v>947</v>
      </c>
      <c r="B849" s="1" t="s">
        <v>944</v>
      </c>
      <c r="C849" s="1" t="s">
        <v>950</v>
      </c>
      <c r="D849" s="1" t="s">
        <v>946</v>
      </c>
      <c r="E849" s="1" t="s">
        <v>8018</v>
      </c>
      <c r="F849" s="1" t="s">
        <v>17</v>
      </c>
      <c r="G849" s="4" t="str">
        <f>"07650"</f>
        <v>07650</v>
      </c>
      <c r="H849" s="1">
        <v>0</v>
      </c>
      <c r="I849" s="1">
        <v>0</v>
      </c>
      <c r="J849" s="1">
        <v>0</v>
      </c>
      <c r="K849" s="1">
        <v>0</v>
      </c>
      <c r="L849" s="1" t="s">
        <v>632</v>
      </c>
      <c r="M849" s="1" t="s">
        <v>948</v>
      </c>
      <c r="N849" s="1" t="s">
        <v>13</v>
      </c>
      <c r="O849" s="1" t="s">
        <v>949</v>
      </c>
    </row>
    <row r="850" spans="1:15" x14ac:dyDescent="0.4">
      <c r="A850" s="1" t="s">
        <v>3109</v>
      </c>
      <c r="B850" s="1" t="s">
        <v>3096</v>
      </c>
      <c r="C850" s="1" t="s">
        <v>3112</v>
      </c>
      <c r="D850" s="1" t="s">
        <v>3104</v>
      </c>
      <c r="E850" s="1" t="s">
        <v>8024</v>
      </c>
      <c r="F850" s="1" t="s">
        <v>17</v>
      </c>
      <c r="G850" s="4" t="str">
        <f>"07028"</f>
        <v>07028</v>
      </c>
      <c r="H850" s="1">
        <v>0</v>
      </c>
      <c r="I850" s="1">
        <v>0</v>
      </c>
      <c r="J850" s="1">
        <v>0</v>
      </c>
      <c r="K850" s="1">
        <v>41</v>
      </c>
      <c r="L850" s="1" t="s">
        <v>62</v>
      </c>
      <c r="M850" s="1" t="s">
        <v>3110</v>
      </c>
      <c r="N850" s="1" t="s">
        <v>13</v>
      </c>
      <c r="O850" s="1" t="s">
        <v>3111</v>
      </c>
    </row>
    <row r="851" spans="1:15" x14ac:dyDescent="0.4">
      <c r="A851" s="1" t="s">
        <v>7593</v>
      </c>
      <c r="B851" s="1" t="s">
        <v>7588</v>
      </c>
      <c r="C851" s="1" t="s">
        <v>7596</v>
      </c>
      <c r="D851" s="1" t="s">
        <v>7592</v>
      </c>
      <c r="E851" s="1" t="s">
        <v>7833</v>
      </c>
      <c r="F851" s="1" t="s">
        <v>17</v>
      </c>
      <c r="G851" s="4" t="str">
        <f>"07036-3960"</f>
        <v>07036-3960</v>
      </c>
      <c r="H851" s="1">
        <v>0</v>
      </c>
      <c r="I851" s="1">
        <v>0</v>
      </c>
      <c r="J851" s="1">
        <v>0</v>
      </c>
      <c r="K851" s="1">
        <v>0</v>
      </c>
      <c r="L851" s="1" t="s">
        <v>665</v>
      </c>
      <c r="M851" s="1" t="s">
        <v>7594</v>
      </c>
      <c r="N851" s="1" t="s">
        <v>13</v>
      </c>
      <c r="O851" s="1" t="s">
        <v>7595</v>
      </c>
    </row>
    <row r="852" spans="1:15" x14ac:dyDescent="0.4">
      <c r="A852" s="1" t="s">
        <v>4606</v>
      </c>
      <c r="B852" s="1" t="s">
        <v>4570</v>
      </c>
      <c r="C852" s="1" t="s">
        <v>4609</v>
      </c>
      <c r="D852" s="1" t="s">
        <v>4571</v>
      </c>
      <c r="E852" s="1" t="s">
        <v>4704</v>
      </c>
      <c r="F852" s="1" t="s">
        <v>17</v>
      </c>
      <c r="G852" s="4" t="str">
        <f>"08817"</f>
        <v>08817</v>
      </c>
      <c r="H852" s="1">
        <v>0</v>
      </c>
      <c r="I852" s="1">
        <v>0</v>
      </c>
      <c r="J852" s="1">
        <v>0</v>
      </c>
      <c r="K852" s="1">
        <v>61</v>
      </c>
      <c r="L852" s="1" t="s">
        <v>142</v>
      </c>
      <c r="M852" s="1" t="s">
        <v>4607</v>
      </c>
      <c r="N852" s="1" t="s">
        <v>13</v>
      </c>
      <c r="O852" s="1" t="s">
        <v>4608</v>
      </c>
    </row>
    <row r="853" spans="1:15" x14ac:dyDescent="0.4">
      <c r="A853" s="1" t="s">
        <v>2161</v>
      </c>
      <c r="B853" s="1" t="s">
        <v>2160</v>
      </c>
      <c r="C853" s="1" t="s">
        <v>2164</v>
      </c>
      <c r="D853" s="1" t="s">
        <v>2165</v>
      </c>
      <c r="E853" s="1" t="s">
        <v>1909</v>
      </c>
      <c r="F853" s="1" t="s">
        <v>17</v>
      </c>
      <c r="G853" s="4" t="str">
        <f>"08021"</f>
        <v>08021</v>
      </c>
      <c r="H853" s="1">
        <v>0</v>
      </c>
      <c r="I853" s="1">
        <v>0</v>
      </c>
      <c r="J853" s="1">
        <v>0</v>
      </c>
      <c r="K853" s="1">
        <v>0</v>
      </c>
      <c r="L853" s="1" t="s">
        <v>1285</v>
      </c>
      <c r="M853" s="1" t="s">
        <v>2162</v>
      </c>
      <c r="N853" s="1" t="s">
        <v>13</v>
      </c>
      <c r="O853" s="1" t="s">
        <v>2163</v>
      </c>
    </row>
    <row r="854" spans="1:15" x14ac:dyDescent="0.4">
      <c r="A854" s="1" t="s">
        <v>2166</v>
      </c>
      <c r="B854" s="1" t="s">
        <v>2160</v>
      </c>
      <c r="C854" s="1" t="s">
        <v>2169</v>
      </c>
      <c r="D854" s="1" t="s">
        <v>2170</v>
      </c>
      <c r="E854" s="1" t="s">
        <v>1909</v>
      </c>
      <c r="F854" s="1" t="s">
        <v>17</v>
      </c>
      <c r="G854" s="4" t="str">
        <f>"08021"</f>
        <v>08021</v>
      </c>
      <c r="H854" s="1">
        <v>0</v>
      </c>
      <c r="I854" s="1">
        <v>0</v>
      </c>
      <c r="J854" s="1">
        <v>0</v>
      </c>
      <c r="K854" s="1">
        <v>0</v>
      </c>
      <c r="L854" s="1" t="s">
        <v>412</v>
      </c>
      <c r="M854" s="1" t="s">
        <v>2167</v>
      </c>
      <c r="N854" s="1" t="s">
        <v>13</v>
      </c>
      <c r="O854" s="1" t="s">
        <v>2168</v>
      </c>
    </row>
    <row r="855" spans="1:15" x14ac:dyDescent="0.4">
      <c r="A855" s="1" t="s">
        <v>2171</v>
      </c>
      <c r="B855" s="1" t="s">
        <v>2160</v>
      </c>
      <c r="C855" s="1" t="s">
        <v>2174</v>
      </c>
      <c r="D855" s="1" t="s">
        <v>2170</v>
      </c>
      <c r="E855" s="1" t="s">
        <v>1909</v>
      </c>
      <c r="F855" s="1" t="s">
        <v>17</v>
      </c>
      <c r="G855" s="4" t="str">
        <f>"08021"</f>
        <v>08021</v>
      </c>
      <c r="H855" s="1">
        <v>0</v>
      </c>
      <c r="I855" s="1">
        <v>0</v>
      </c>
      <c r="J855" s="1">
        <v>0</v>
      </c>
      <c r="K855" s="1">
        <v>142</v>
      </c>
      <c r="L855" s="1" t="s">
        <v>293</v>
      </c>
      <c r="M855" s="1" t="s">
        <v>2172</v>
      </c>
      <c r="N855" s="1" t="s">
        <v>13</v>
      </c>
      <c r="O855" s="1" t="s">
        <v>2173</v>
      </c>
    </row>
    <row r="856" spans="1:15" x14ac:dyDescent="0.4">
      <c r="A856" s="1" t="s">
        <v>2175</v>
      </c>
      <c r="B856" s="1" t="s">
        <v>2160</v>
      </c>
      <c r="C856" s="1" t="s">
        <v>2177</v>
      </c>
      <c r="D856" s="1" t="s">
        <v>2170</v>
      </c>
      <c r="E856" s="1" t="s">
        <v>1909</v>
      </c>
      <c r="F856" s="1" t="s">
        <v>17</v>
      </c>
      <c r="G856" s="4" t="str">
        <f>"08021"</f>
        <v>08021</v>
      </c>
      <c r="H856" s="1">
        <v>0</v>
      </c>
      <c r="I856" s="1">
        <v>0</v>
      </c>
      <c r="J856" s="1">
        <v>0</v>
      </c>
      <c r="K856" s="1">
        <v>130</v>
      </c>
      <c r="L856" s="1" t="s">
        <v>413</v>
      </c>
      <c r="M856" s="1" t="s">
        <v>370</v>
      </c>
      <c r="N856" s="1" t="s">
        <v>13</v>
      </c>
      <c r="O856" s="1" t="s">
        <v>2176</v>
      </c>
    </row>
    <row r="857" spans="1:15" x14ac:dyDescent="0.4">
      <c r="A857" s="1" t="s">
        <v>2627</v>
      </c>
      <c r="B857" s="1" t="s">
        <v>2627</v>
      </c>
      <c r="C857" s="1" t="s">
        <v>2630</v>
      </c>
      <c r="D857" s="1" t="s">
        <v>2153</v>
      </c>
      <c r="E857" s="1" t="s">
        <v>8022</v>
      </c>
      <c r="F857" s="1" t="s">
        <v>17</v>
      </c>
      <c r="G857" s="4" t="str">
        <f>"07114"</f>
        <v>07114</v>
      </c>
      <c r="H857" s="1">
        <v>0</v>
      </c>
      <c r="I857" s="1">
        <v>0</v>
      </c>
      <c r="J857" s="1">
        <v>0</v>
      </c>
      <c r="K857" s="1">
        <v>20</v>
      </c>
      <c r="L857" s="1" t="s">
        <v>1570</v>
      </c>
      <c r="M857" s="1" t="s">
        <v>2628</v>
      </c>
      <c r="N857" s="1" t="s">
        <v>13</v>
      </c>
      <c r="O857" s="1" t="s">
        <v>2629</v>
      </c>
    </row>
    <row r="858" spans="1:15" x14ac:dyDescent="0.4">
      <c r="A858" s="1" t="s">
        <v>4793</v>
      </c>
      <c r="B858" s="1" t="s">
        <v>4791</v>
      </c>
      <c r="C858" s="1" t="s">
        <v>4797</v>
      </c>
      <c r="D858" s="1" t="s">
        <v>4792</v>
      </c>
      <c r="E858" s="1" t="s">
        <v>4704</v>
      </c>
      <c r="F858" s="1" t="s">
        <v>17</v>
      </c>
      <c r="G858" s="4" t="str">
        <f>"08902"</f>
        <v>08902</v>
      </c>
      <c r="H858" s="1">
        <v>0</v>
      </c>
      <c r="I858" s="1">
        <v>0</v>
      </c>
      <c r="J858" s="1">
        <v>0</v>
      </c>
      <c r="K858" s="1">
        <v>0</v>
      </c>
      <c r="L858" s="1" t="s">
        <v>4794</v>
      </c>
      <c r="M858" s="1" t="s">
        <v>4795</v>
      </c>
      <c r="N858" s="1" t="s">
        <v>13</v>
      </c>
      <c r="O858" s="1" t="s">
        <v>4796</v>
      </c>
    </row>
    <row r="859" spans="1:15" x14ac:dyDescent="0.4">
      <c r="A859" s="1" t="s">
        <v>6602</v>
      </c>
      <c r="B859" s="1" t="s">
        <v>6601</v>
      </c>
      <c r="C859" s="1" t="s">
        <v>6604</v>
      </c>
      <c r="D859" s="1" t="s">
        <v>6605</v>
      </c>
      <c r="E859" s="1" t="s">
        <v>2670</v>
      </c>
      <c r="F859" s="1" t="s">
        <v>17</v>
      </c>
      <c r="G859" s="4" t="str">
        <f>"07424-1082"</f>
        <v>07424-1082</v>
      </c>
      <c r="H859" s="1">
        <v>0</v>
      </c>
      <c r="I859" s="1">
        <v>0</v>
      </c>
      <c r="J859" s="1">
        <v>0</v>
      </c>
      <c r="K859" s="1">
        <v>0</v>
      </c>
      <c r="L859" s="1" t="s">
        <v>413</v>
      </c>
      <c r="M859" s="1" t="s">
        <v>1356</v>
      </c>
      <c r="N859" s="1" t="s">
        <v>13</v>
      </c>
      <c r="O859" s="1" t="s">
        <v>6603</v>
      </c>
    </row>
    <row r="860" spans="1:15" x14ac:dyDescent="0.4">
      <c r="A860" s="1" t="s">
        <v>6606</v>
      </c>
      <c r="B860" s="1" t="s">
        <v>6601</v>
      </c>
      <c r="C860" s="1" t="s">
        <v>6610</v>
      </c>
      <c r="D860" s="1" t="s">
        <v>6605</v>
      </c>
      <c r="E860" s="1" t="s">
        <v>2670</v>
      </c>
      <c r="F860" s="1" t="s">
        <v>17</v>
      </c>
      <c r="G860" s="4" t="str">
        <f>"07424-1082"</f>
        <v>07424-1082</v>
      </c>
      <c r="H860" s="1">
        <v>0</v>
      </c>
      <c r="I860" s="1">
        <v>0</v>
      </c>
      <c r="J860" s="1">
        <v>0</v>
      </c>
      <c r="K860" s="1">
        <v>0</v>
      </c>
      <c r="L860" s="1" t="s">
        <v>6607</v>
      </c>
      <c r="M860" s="1" t="s">
        <v>6608</v>
      </c>
      <c r="N860" s="1" t="s">
        <v>13</v>
      </c>
      <c r="O860" s="1" t="s">
        <v>6609</v>
      </c>
    </row>
    <row r="861" spans="1:15" x14ac:dyDescent="0.4">
      <c r="A861" s="1" t="s">
        <v>4370</v>
      </c>
      <c r="B861" s="1" t="s">
        <v>4368</v>
      </c>
      <c r="C861" s="1" t="s">
        <v>4372</v>
      </c>
      <c r="D861" s="1" t="s">
        <v>2701</v>
      </c>
      <c r="E861" s="1" t="s">
        <v>8026</v>
      </c>
      <c r="F861" s="1" t="s">
        <v>17</v>
      </c>
      <c r="G861" s="4" t="str">
        <f>"08540-4013"</f>
        <v>08540-4013</v>
      </c>
      <c r="H861" s="1">
        <v>0</v>
      </c>
      <c r="I861" s="1">
        <v>0</v>
      </c>
      <c r="J861" s="1">
        <v>0</v>
      </c>
      <c r="K861" s="1">
        <v>44</v>
      </c>
      <c r="L861" s="1" t="s">
        <v>476</v>
      </c>
      <c r="M861" s="1" t="s">
        <v>3133</v>
      </c>
      <c r="N861" s="1" t="s">
        <v>13</v>
      </c>
      <c r="O861" s="1" t="s">
        <v>4371</v>
      </c>
    </row>
    <row r="862" spans="1:15" x14ac:dyDescent="0.4">
      <c r="A862" s="1" t="s">
        <v>6047</v>
      </c>
      <c r="B862" s="1" t="s">
        <v>6029</v>
      </c>
      <c r="C862" s="1" t="s">
        <v>6050</v>
      </c>
      <c r="D862" s="1" t="s">
        <v>6051</v>
      </c>
      <c r="E862" s="1" t="s">
        <v>1503</v>
      </c>
      <c r="F862" s="1" t="s">
        <v>17</v>
      </c>
      <c r="G862" s="4" t="str">
        <f>"07950"</f>
        <v>07950</v>
      </c>
      <c r="H862" s="1">
        <v>0</v>
      </c>
      <c r="I862" s="1">
        <v>0</v>
      </c>
      <c r="J862" s="1">
        <v>0</v>
      </c>
      <c r="K862" s="1">
        <v>53</v>
      </c>
      <c r="L862" s="1" t="s">
        <v>50</v>
      </c>
      <c r="M862" s="1" t="s">
        <v>6048</v>
      </c>
      <c r="N862" s="1" t="s">
        <v>13</v>
      </c>
      <c r="O862" s="1" t="s">
        <v>6049</v>
      </c>
    </row>
    <row r="863" spans="1:15" x14ac:dyDescent="0.4">
      <c r="A863" s="1" t="s">
        <v>7464</v>
      </c>
      <c r="B863" s="1" t="s">
        <v>7446</v>
      </c>
      <c r="C863" s="1" t="s">
        <v>7467</v>
      </c>
      <c r="D863" s="1" t="s">
        <v>7452</v>
      </c>
      <c r="E863" s="1" t="s">
        <v>7833</v>
      </c>
      <c r="F863" s="1" t="s">
        <v>17</v>
      </c>
      <c r="G863" s="4" t="str">
        <f>"07016"</f>
        <v>07016</v>
      </c>
      <c r="H863" s="1">
        <v>0</v>
      </c>
      <c r="I863" s="1">
        <v>0</v>
      </c>
      <c r="J863" s="1">
        <v>0</v>
      </c>
      <c r="K863" s="1">
        <v>0</v>
      </c>
      <c r="L863" s="1" t="s">
        <v>7465</v>
      </c>
      <c r="M863" s="1" t="s">
        <v>312</v>
      </c>
      <c r="N863" s="1" t="s">
        <v>13</v>
      </c>
      <c r="O863" s="1" t="s">
        <v>7466</v>
      </c>
    </row>
    <row r="864" spans="1:15" x14ac:dyDescent="0.4">
      <c r="A864" s="1" t="s">
        <v>4770</v>
      </c>
      <c r="B864" s="1" t="s">
        <v>4764</v>
      </c>
      <c r="C864" s="1" t="s">
        <v>4774</v>
      </c>
      <c r="D864" s="1" t="s">
        <v>2565</v>
      </c>
      <c r="E864" s="1" t="s">
        <v>4704</v>
      </c>
      <c r="F864" s="1" t="s">
        <v>17</v>
      </c>
      <c r="G864" s="4" t="str">
        <f>"08901-3035"</f>
        <v>08901-3035</v>
      </c>
      <c r="H864" s="1">
        <v>0</v>
      </c>
      <c r="I864" s="1">
        <v>0</v>
      </c>
      <c r="J864" s="1">
        <v>0</v>
      </c>
      <c r="K864" s="1">
        <v>63</v>
      </c>
      <c r="L864" s="1" t="s">
        <v>4771</v>
      </c>
      <c r="M864" s="1" t="s">
        <v>4772</v>
      </c>
      <c r="N864" s="1" t="s">
        <v>13</v>
      </c>
      <c r="O864" s="1" t="s">
        <v>4773</v>
      </c>
    </row>
    <row r="865" spans="1:15" x14ac:dyDescent="0.4">
      <c r="A865" s="1" t="s">
        <v>3159</v>
      </c>
      <c r="B865" s="1" t="s">
        <v>3144</v>
      </c>
      <c r="C865" s="1" t="s">
        <v>3163</v>
      </c>
      <c r="D865" s="1" t="s">
        <v>3145</v>
      </c>
      <c r="E865" s="1" t="s">
        <v>8024</v>
      </c>
      <c r="F865" s="1" t="s">
        <v>17</v>
      </c>
      <c r="G865" s="4" t="str">
        <f>"07039"</f>
        <v>07039</v>
      </c>
      <c r="H865" s="1">
        <v>0</v>
      </c>
      <c r="I865" s="1">
        <v>0</v>
      </c>
      <c r="J865" s="1">
        <v>0</v>
      </c>
      <c r="K865" s="1">
        <v>0</v>
      </c>
      <c r="L865" s="1" t="s">
        <v>3160</v>
      </c>
      <c r="M865" s="1" t="s">
        <v>3161</v>
      </c>
      <c r="N865" s="1" t="s">
        <v>13</v>
      </c>
      <c r="O865" s="1" t="s">
        <v>3162</v>
      </c>
    </row>
    <row r="866" spans="1:15" x14ac:dyDescent="0.4">
      <c r="A866" s="1" t="s">
        <v>5457</v>
      </c>
      <c r="B866" s="1" t="s">
        <v>5455</v>
      </c>
      <c r="C866" s="1" t="s">
        <v>5460</v>
      </c>
      <c r="D866" s="1" t="s">
        <v>5461</v>
      </c>
      <c r="E866" s="1" t="s">
        <v>8027</v>
      </c>
      <c r="F866" s="1" t="s">
        <v>17</v>
      </c>
      <c r="G866" s="4" t="str">
        <f>"07747-1800"</f>
        <v>07747-1800</v>
      </c>
      <c r="H866" s="1">
        <v>0</v>
      </c>
      <c r="I866" s="1">
        <v>0</v>
      </c>
      <c r="J866" s="1">
        <v>0</v>
      </c>
      <c r="K866" s="1">
        <v>0</v>
      </c>
      <c r="L866" s="1" t="s">
        <v>434</v>
      </c>
      <c r="M866" s="1" t="s">
        <v>5458</v>
      </c>
      <c r="N866" s="1" t="s">
        <v>13</v>
      </c>
      <c r="O866" s="1" t="s">
        <v>5459</v>
      </c>
    </row>
    <row r="867" spans="1:15" x14ac:dyDescent="0.4">
      <c r="A867" s="1" t="s">
        <v>769</v>
      </c>
      <c r="B867" s="1" t="s">
        <v>767</v>
      </c>
      <c r="C867" s="1" t="s">
        <v>772</v>
      </c>
      <c r="D867" s="1" t="s">
        <v>768</v>
      </c>
      <c r="E867" s="1" t="s">
        <v>8018</v>
      </c>
      <c r="F867" s="1" t="s">
        <v>17</v>
      </c>
      <c r="G867" s="4" t="str">
        <f>"07644"</f>
        <v>07644</v>
      </c>
      <c r="H867" s="1">
        <v>0</v>
      </c>
      <c r="I867" s="1">
        <v>0</v>
      </c>
      <c r="J867" s="1">
        <v>0</v>
      </c>
      <c r="K867" s="1">
        <v>0</v>
      </c>
      <c r="L867" s="1" t="s">
        <v>158</v>
      </c>
      <c r="M867" s="1" t="s">
        <v>770</v>
      </c>
      <c r="N867" s="1" t="s">
        <v>13</v>
      </c>
      <c r="O867" s="1" t="s">
        <v>771</v>
      </c>
    </row>
    <row r="868" spans="1:15" x14ac:dyDescent="0.4">
      <c r="A868" s="1" t="s">
        <v>1180</v>
      </c>
      <c r="B868" s="1" t="s">
        <v>1179</v>
      </c>
      <c r="C868" s="1" t="s">
        <v>1185</v>
      </c>
      <c r="D868" s="1" t="s">
        <v>768</v>
      </c>
      <c r="E868" s="1" t="s">
        <v>8018</v>
      </c>
      <c r="F868" s="1" t="s">
        <v>17</v>
      </c>
      <c r="G868" s="4" t="str">
        <f>"07644"</f>
        <v>07644</v>
      </c>
      <c r="H868" s="1">
        <v>0</v>
      </c>
      <c r="I868" s="1">
        <v>0</v>
      </c>
      <c r="J868" s="1">
        <v>0</v>
      </c>
      <c r="K868" s="1">
        <v>0</v>
      </c>
      <c r="L868" s="1" t="s">
        <v>1181</v>
      </c>
      <c r="M868" s="1" t="s">
        <v>1182</v>
      </c>
      <c r="N868" s="1" t="s">
        <v>1183</v>
      </c>
      <c r="O868" s="1" t="s">
        <v>1184</v>
      </c>
    </row>
    <row r="869" spans="1:15" x14ac:dyDescent="0.4">
      <c r="A869" s="1" t="s">
        <v>3664</v>
      </c>
      <c r="B869" s="1" t="s">
        <v>3663</v>
      </c>
      <c r="C869" s="1" t="s">
        <v>3667</v>
      </c>
      <c r="D869" s="1" t="s">
        <v>3668</v>
      </c>
      <c r="E869" s="1" t="s">
        <v>8020</v>
      </c>
      <c r="F869" s="1" t="s">
        <v>17</v>
      </c>
      <c r="G869" s="4" t="str">
        <f>"08085"</f>
        <v>08085</v>
      </c>
      <c r="H869" s="1">
        <v>0</v>
      </c>
      <c r="I869" s="1">
        <v>0</v>
      </c>
      <c r="J869" s="1">
        <v>0</v>
      </c>
      <c r="K869" s="1">
        <v>0</v>
      </c>
      <c r="L869" s="1" t="s">
        <v>3665</v>
      </c>
      <c r="M869" s="1" t="s">
        <v>663</v>
      </c>
      <c r="N869" s="1" t="s">
        <v>13</v>
      </c>
      <c r="O869" s="1" t="s">
        <v>3666</v>
      </c>
    </row>
    <row r="870" spans="1:15" x14ac:dyDescent="0.4">
      <c r="A870" s="1" t="s">
        <v>3669</v>
      </c>
      <c r="B870" s="1" t="s">
        <v>3663</v>
      </c>
      <c r="C870" s="1" t="s">
        <v>3667</v>
      </c>
      <c r="D870" s="1" t="s">
        <v>3668</v>
      </c>
      <c r="E870" s="1" t="s">
        <v>8020</v>
      </c>
      <c r="F870" s="1" t="s">
        <v>17</v>
      </c>
      <c r="G870" s="4" t="str">
        <f>"08085"</f>
        <v>08085</v>
      </c>
      <c r="H870" s="1">
        <v>0</v>
      </c>
      <c r="I870" s="1">
        <v>0</v>
      </c>
      <c r="J870" s="1">
        <v>0</v>
      </c>
      <c r="K870" s="1">
        <v>0</v>
      </c>
      <c r="L870" s="1" t="s">
        <v>3665</v>
      </c>
      <c r="M870" s="1" t="s">
        <v>663</v>
      </c>
      <c r="N870" s="1" t="s">
        <v>13</v>
      </c>
      <c r="O870" s="1" t="s">
        <v>3670</v>
      </c>
    </row>
    <row r="871" spans="1:15" x14ac:dyDescent="0.4">
      <c r="A871" s="1" t="s">
        <v>6362</v>
      </c>
      <c r="B871" s="1" t="s">
        <v>6361</v>
      </c>
      <c r="C871" s="1" t="s">
        <v>6365</v>
      </c>
      <c r="D871" s="1" t="s">
        <v>6366</v>
      </c>
      <c r="E871" s="1" t="s">
        <v>8028</v>
      </c>
      <c r="F871" s="1" t="s">
        <v>17</v>
      </c>
      <c r="G871" s="4" t="str">
        <f>"08008"</f>
        <v>08008</v>
      </c>
      <c r="H871" s="1">
        <v>0</v>
      </c>
      <c r="I871" s="1">
        <v>0</v>
      </c>
      <c r="J871" s="1">
        <v>0</v>
      </c>
      <c r="K871" s="1">
        <v>0</v>
      </c>
      <c r="L871" s="1" t="s">
        <v>490</v>
      </c>
      <c r="M871" s="1" t="s">
        <v>6363</v>
      </c>
      <c r="N871" s="1" t="s">
        <v>13</v>
      </c>
      <c r="O871" s="1" t="s">
        <v>6364</v>
      </c>
    </row>
    <row r="872" spans="1:15" x14ac:dyDescent="0.4">
      <c r="A872" s="1" t="s">
        <v>5371</v>
      </c>
      <c r="B872" s="1" t="s">
        <v>5355</v>
      </c>
      <c r="C872" s="1" t="s">
        <v>5374</v>
      </c>
      <c r="D872" s="1" t="s">
        <v>5361</v>
      </c>
      <c r="E872" s="1" t="s">
        <v>8027</v>
      </c>
      <c r="F872" s="1" t="s">
        <v>17</v>
      </c>
      <c r="G872" s="4" t="str">
        <f>"07740-5557"</f>
        <v>07740-5557</v>
      </c>
      <c r="H872" s="1">
        <v>0</v>
      </c>
      <c r="I872" s="1">
        <v>0</v>
      </c>
      <c r="J872" s="1">
        <v>0</v>
      </c>
      <c r="K872" s="1">
        <v>0</v>
      </c>
      <c r="L872" s="1" t="s">
        <v>162</v>
      </c>
      <c r="M872" s="1" t="s">
        <v>5372</v>
      </c>
      <c r="N872" s="1" t="s">
        <v>91</v>
      </c>
      <c r="O872" s="1" t="s">
        <v>5373</v>
      </c>
    </row>
    <row r="873" spans="1:15" x14ac:dyDescent="0.4">
      <c r="A873" s="1" t="s">
        <v>5375</v>
      </c>
      <c r="B873" s="1" t="s">
        <v>5355</v>
      </c>
      <c r="C873" s="1" t="s">
        <v>5377</v>
      </c>
      <c r="D873" s="1" t="s">
        <v>5361</v>
      </c>
      <c r="E873" s="1" t="s">
        <v>8027</v>
      </c>
      <c r="F873" s="1" t="s">
        <v>17</v>
      </c>
      <c r="G873" s="4" t="str">
        <f>"07740-6192"</f>
        <v>07740-6192</v>
      </c>
      <c r="H873" s="1">
        <v>0</v>
      </c>
      <c r="I873" s="1">
        <v>0</v>
      </c>
      <c r="J873" s="1">
        <v>0</v>
      </c>
      <c r="K873" s="1">
        <v>0</v>
      </c>
      <c r="L873" s="1" t="s">
        <v>2344</v>
      </c>
      <c r="M873" s="1" t="s">
        <v>3520</v>
      </c>
      <c r="N873" s="1" t="s">
        <v>13</v>
      </c>
      <c r="O873" s="1" t="s">
        <v>5376</v>
      </c>
    </row>
    <row r="874" spans="1:15" x14ac:dyDescent="0.4">
      <c r="A874" s="1" t="s">
        <v>7288</v>
      </c>
      <c r="B874" s="1" t="s">
        <v>7286</v>
      </c>
      <c r="C874" s="1" t="s">
        <v>7290</v>
      </c>
      <c r="D874" s="1" t="s">
        <v>7287</v>
      </c>
      <c r="E874" s="1" t="s">
        <v>8030</v>
      </c>
      <c r="F874" s="1" t="s">
        <v>17</v>
      </c>
      <c r="G874" s="4" t="str">
        <f>"07860"</f>
        <v>07860</v>
      </c>
      <c r="H874" s="1">
        <v>0</v>
      </c>
      <c r="I874" s="1">
        <v>0</v>
      </c>
      <c r="J874" s="1">
        <v>0</v>
      </c>
      <c r="K874" s="1">
        <v>0</v>
      </c>
      <c r="L874" s="1" t="s">
        <v>4258</v>
      </c>
      <c r="M874" s="1" t="s">
        <v>357</v>
      </c>
      <c r="N874" s="1" t="s">
        <v>13</v>
      </c>
      <c r="O874" s="1" t="s">
        <v>7289</v>
      </c>
    </row>
    <row r="875" spans="1:15" x14ac:dyDescent="0.4">
      <c r="A875" s="1" t="s">
        <v>6179</v>
      </c>
      <c r="B875" s="1" t="s">
        <v>3741</v>
      </c>
      <c r="C875" s="1" t="s">
        <v>6182</v>
      </c>
      <c r="D875" s="1" t="s">
        <v>6178</v>
      </c>
      <c r="E875" s="1" t="s">
        <v>1503</v>
      </c>
      <c r="F875" s="1" t="s">
        <v>17</v>
      </c>
      <c r="G875" s="4" t="str">
        <f>"07853-9200"</f>
        <v>07853-9200</v>
      </c>
      <c r="H875" s="1">
        <v>0</v>
      </c>
      <c r="I875" s="1">
        <v>0</v>
      </c>
      <c r="J875" s="1">
        <v>0</v>
      </c>
      <c r="K875" s="1">
        <v>0</v>
      </c>
      <c r="L875" s="1" t="s">
        <v>236</v>
      </c>
      <c r="M875" s="1" t="s">
        <v>6180</v>
      </c>
      <c r="N875" s="1" t="s">
        <v>13</v>
      </c>
      <c r="O875" s="1" t="s">
        <v>6181</v>
      </c>
    </row>
    <row r="876" spans="1:15" x14ac:dyDescent="0.4">
      <c r="A876" s="1" t="s">
        <v>7966</v>
      </c>
      <c r="B876" s="1" t="s">
        <v>7965</v>
      </c>
      <c r="C876" s="1" t="s">
        <v>7968</v>
      </c>
      <c r="D876" s="1" t="s">
        <v>7952</v>
      </c>
      <c r="E876" s="1" t="s">
        <v>55</v>
      </c>
      <c r="F876" s="1" t="s">
        <v>17</v>
      </c>
      <c r="G876" s="4" t="str">
        <f>"08865-9410"</f>
        <v>08865-9410</v>
      </c>
      <c r="H876" s="1">
        <v>0</v>
      </c>
      <c r="I876" s="1">
        <v>0</v>
      </c>
      <c r="J876" s="1">
        <v>0</v>
      </c>
      <c r="K876" s="1">
        <v>64</v>
      </c>
      <c r="L876" s="1" t="s">
        <v>290</v>
      </c>
      <c r="M876" s="1" t="s">
        <v>1880</v>
      </c>
      <c r="N876" s="1" t="s">
        <v>13</v>
      </c>
      <c r="O876" s="1" t="s">
        <v>7967</v>
      </c>
    </row>
    <row r="877" spans="1:15" x14ac:dyDescent="0.4">
      <c r="A877" s="1" t="s">
        <v>7969</v>
      </c>
      <c r="B877" s="1" t="s">
        <v>7965</v>
      </c>
      <c r="C877" s="1" t="s">
        <v>7972</v>
      </c>
      <c r="D877" s="1" t="s">
        <v>7952</v>
      </c>
      <c r="E877" s="1" t="s">
        <v>55</v>
      </c>
      <c r="F877" s="1" t="s">
        <v>17</v>
      </c>
      <c r="G877" s="4" t="str">
        <f>"08865-9410"</f>
        <v>08865-9410</v>
      </c>
      <c r="H877" s="1">
        <v>0</v>
      </c>
      <c r="I877" s="1">
        <v>0</v>
      </c>
      <c r="J877" s="1">
        <v>0</v>
      </c>
      <c r="K877" s="1">
        <v>0</v>
      </c>
      <c r="L877" s="1" t="s">
        <v>657</v>
      </c>
      <c r="M877" s="1" t="s">
        <v>7970</v>
      </c>
      <c r="N877" s="1" t="s">
        <v>13</v>
      </c>
      <c r="O877" s="1" t="s">
        <v>7971</v>
      </c>
    </row>
    <row r="878" spans="1:15" x14ac:dyDescent="0.4">
      <c r="A878" s="1" t="s">
        <v>2074</v>
      </c>
      <c r="B878" s="1" t="s">
        <v>2047</v>
      </c>
      <c r="C878" s="1" t="s">
        <v>2077</v>
      </c>
      <c r="D878" s="1" t="s">
        <v>1861</v>
      </c>
      <c r="E878" s="1" t="s">
        <v>1909</v>
      </c>
      <c r="F878" s="1" t="s">
        <v>17</v>
      </c>
      <c r="G878" s="4" t="str">
        <f>"08012-3311"</f>
        <v>08012-3311</v>
      </c>
      <c r="H878" s="1">
        <v>0</v>
      </c>
      <c r="I878" s="1">
        <v>0</v>
      </c>
      <c r="J878" s="1">
        <v>0</v>
      </c>
      <c r="K878" s="1">
        <v>106</v>
      </c>
      <c r="L878" s="1" t="s">
        <v>1673</v>
      </c>
      <c r="M878" s="1" t="s">
        <v>2075</v>
      </c>
      <c r="N878" s="1" t="s">
        <v>13</v>
      </c>
      <c r="O878" s="1" t="s">
        <v>2076</v>
      </c>
    </row>
    <row r="879" spans="1:15" x14ac:dyDescent="0.4">
      <c r="A879" s="1" t="s">
        <v>3688</v>
      </c>
      <c r="B879" s="1" t="s">
        <v>3686</v>
      </c>
      <c r="C879" s="1" t="s">
        <v>3691</v>
      </c>
      <c r="D879" s="1" t="s">
        <v>3687</v>
      </c>
      <c r="E879" s="1" t="s">
        <v>8020</v>
      </c>
      <c r="F879" s="1" t="s">
        <v>17</v>
      </c>
      <c r="G879" s="4" t="str">
        <f>"08066-1536"</f>
        <v>08066-1536</v>
      </c>
      <c r="H879" s="1">
        <v>0</v>
      </c>
      <c r="I879" s="1">
        <v>0</v>
      </c>
      <c r="J879" s="1">
        <v>0</v>
      </c>
      <c r="K879" s="1">
        <v>0</v>
      </c>
      <c r="L879" s="1" t="s">
        <v>1809</v>
      </c>
      <c r="M879" s="1" t="s">
        <v>3689</v>
      </c>
      <c r="N879" s="1" t="s">
        <v>13</v>
      </c>
      <c r="O879" s="1" t="s">
        <v>3690</v>
      </c>
    </row>
    <row r="880" spans="1:15" x14ac:dyDescent="0.4">
      <c r="A880" s="1" t="s">
        <v>7390</v>
      </c>
      <c r="B880" s="1" t="s">
        <v>7380</v>
      </c>
      <c r="C880" s="1" t="s">
        <v>7393</v>
      </c>
      <c r="D880" s="1" t="s">
        <v>7385</v>
      </c>
      <c r="E880" s="1" t="s">
        <v>8030</v>
      </c>
      <c r="F880" s="1" t="s">
        <v>17</v>
      </c>
      <c r="G880" s="4" t="str">
        <f>"07462-0219"</f>
        <v>07462-0219</v>
      </c>
      <c r="H880" s="1">
        <v>0</v>
      </c>
      <c r="I880" s="1">
        <v>0</v>
      </c>
      <c r="J880" s="1">
        <v>0</v>
      </c>
      <c r="K880" s="1">
        <v>0</v>
      </c>
      <c r="L880" s="1" t="s">
        <v>395</v>
      </c>
      <c r="M880" s="1" t="s">
        <v>7391</v>
      </c>
      <c r="N880" s="1" t="s">
        <v>13</v>
      </c>
      <c r="O880" s="1" t="s">
        <v>7392</v>
      </c>
    </row>
    <row r="881" spans="1:15" x14ac:dyDescent="0.4">
      <c r="A881" s="1" t="s">
        <v>2334</v>
      </c>
      <c r="B881" s="1" t="s">
        <v>2333</v>
      </c>
      <c r="C881" s="1" t="s">
        <v>2338</v>
      </c>
      <c r="D881" s="1" t="s">
        <v>2311</v>
      </c>
      <c r="E881" s="1" t="s">
        <v>8021</v>
      </c>
      <c r="F881" s="1" t="s">
        <v>17</v>
      </c>
      <c r="G881" s="4" t="str">
        <f>"08204"</f>
        <v>08204</v>
      </c>
      <c r="H881" s="1">
        <v>0</v>
      </c>
      <c r="I881" s="1">
        <v>0</v>
      </c>
      <c r="J881" s="1">
        <v>0</v>
      </c>
      <c r="K881" s="1">
        <v>0</v>
      </c>
      <c r="L881" s="1" t="s">
        <v>2335</v>
      </c>
      <c r="M881" s="1" t="s">
        <v>2336</v>
      </c>
      <c r="N881" s="1" t="s">
        <v>13</v>
      </c>
      <c r="O881" s="1" t="s">
        <v>2337</v>
      </c>
    </row>
    <row r="882" spans="1:15" x14ac:dyDescent="0.4">
      <c r="A882" s="1" t="s">
        <v>4457</v>
      </c>
      <c r="B882" s="1" t="s">
        <v>4393</v>
      </c>
      <c r="C882" s="1" t="s">
        <v>4459</v>
      </c>
      <c r="D882" s="1" t="s">
        <v>2427</v>
      </c>
      <c r="E882" s="1" t="s">
        <v>8026</v>
      </c>
      <c r="F882" s="1" t="s">
        <v>17</v>
      </c>
      <c r="G882" s="4" t="str">
        <f>"08638"</f>
        <v>08638</v>
      </c>
      <c r="H882" s="1">
        <v>0</v>
      </c>
      <c r="I882" s="1">
        <v>0</v>
      </c>
      <c r="J882" s="1">
        <v>0</v>
      </c>
      <c r="K882" s="1">
        <v>105</v>
      </c>
      <c r="L882" s="1" t="s">
        <v>1150</v>
      </c>
      <c r="M882" s="1" t="s">
        <v>883</v>
      </c>
      <c r="N882" s="1" t="s">
        <v>13</v>
      </c>
      <c r="O882" s="1" t="s">
        <v>4458</v>
      </c>
    </row>
    <row r="883" spans="1:15" x14ac:dyDescent="0.4">
      <c r="A883" s="1" t="s">
        <v>1541</v>
      </c>
      <c r="B883" s="1" t="s">
        <v>1536</v>
      </c>
      <c r="C883" s="1" t="s">
        <v>1543</v>
      </c>
      <c r="D883" s="1" t="s">
        <v>1537</v>
      </c>
      <c r="E883" s="1" t="s">
        <v>8019</v>
      </c>
      <c r="F883" s="1" t="s">
        <v>17</v>
      </c>
      <c r="G883" s="4" t="str">
        <f>"08048"</f>
        <v>08048</v>
      </c>
      <c r="H883" s="1">
        <v>0</v>
      </c>
      <c r="I883" s="1">
        <v>0</v>
      </c>
      <c r="J883" s="1">
        <v>0</v>
      </c>
      <c r="K883" s="1">
        <v>0</v>
      </c>
      <c r="L883" s="1" t="s">
        <v>657</v>
      </c>
      <c r="M883" s="1" t="s">
        <v>171</v>
      </c>
      <c r="N883" s="1" t="s">
        <v>13</v>
      </c>
      <c r="O883" s="1" t="s">
        <v>1542</v>
      </c>
    </row>
    <row r="884" spans="1:15" x14ac:dyDescent="0.4">
      <c r="A884" s="1" t="s">
        <v>458</v>
      </c>
      <c r="B884" s="1" t="s">
        <v>449</v>
      </c>
      <c r="C884" s="1" t="s">
        <v>459</v>
      </c>
      <c r="D884" s="1" t="s">
        <v>452</v>
      </c>
      <c r="E884" s="1" t="s">
        <v>8018</v>
      </c>
      <c r="F884" s="1" t="s">
        <v>17</v>
      </c>
      <c r="G884" s="4" t="str">
        <f>"07627"</f>
        <v>07627</v>
      </c>
      <c r="H884" s="1">
        <v>0</v>
      </c>
      <c r="I884" s="1">
        <v>0</v>
      </c>
      <c r="J884" s="1">
        <v>0</v>
      </c>
      <c r="K884" s="1">
        <v>0</v>
      </c>
      <c r="L884" s="1" t="s">
        <v>123</v>
      </c>
      <c r="M884" s="1" t="s">
        <v>450</v>
      </c>
      <c r="N884" s="1" t="s">
        <v>13</v>
      </c>
      <c r="O884" s="1" t="s">
        <v>451</v>
      </c>
    </row>
    <row r="885" spans="1:15" x14ac:dyDescent="0.4">
      <c r="A885" s="1" t="s">
        <v>578</v>
      </c>
      <c r="B885" s="1" t="s">
        <v>561</v>
      </c>
      <c r="C885" s="1" t="s">
        <v>581</v>
      </c>
      <c r="D885" s="1" t="s">
        <v>567</v>
      </c>
      <c r="E885" s="1" t="s">
        <v>8018</v>
      </c>
      <c r="F885" s="1" t="s">
        <v>17</v>
      </c>
      <c r="G885" s="4" t="str">
        <f>"07410"</f>
        <v>07410</v>
      </c>
      <c r="H885" s="1">
        <v>0</v>
      </c>
      <c r="I885" s="1">
        <v>0</v>
      </c>
      <c r="J885" s="1">
        <v>0</v>
      </c>
      <c r="K885" s="1">
        <v>28</v>
      </c>
      <c r="L885" s="1" t="s">
        <v>28</v>
      </c>
      <c r="M885" s="1" t="s">
        <v>579</v>
      </c>
      <c r="N885" s="1" t="s">
        <v>13</v>
      </c>
      <c r="O885" s="1" t="s">
        <v>580</v>
      </c>
    </row>
    <row r="886" spans="1:15" x14ac:dyDescent="0.4">
      <c r="A886" s="1" t="s">
        <v>792</v>
      </c>
      <c r="B886" s="1" t="s">
        <v>777</v>
      </c>
      <c r="C886" s="1" t="s">
        <v>795</v>
      </c>
      <c r="D886" s="1" t="s">
        <v>780</v>
      </c>
      <c r="E886" s="1" t="s">
        <v>8018</v>
      </c>
      <c r="F886" s="1" t="s">
        <v>17</v>
      </c>
      <c r="G886" s="4" t="str">
        <f>"07071"</f>
        <v>07071</v>
      </c>
      <c r="H886" s="1">
        <v>0</v>
      </c>
      <c r="I886" s="1">
        <v>0</v>
      </c>
      <c r="J886" s="1">
        <v>0</v>
      </c>
      <c r="K886" s="1">
        <v>0</v>
      </c>
      <c r="L886" s="1" t="s">
        <v>169</v>
      </c>
      <c r="M886" s="1" t="s">
        <v>793</v>
      </c>
      <c r="N886" s="1" t="s">
        <v>13</v>
      </c>
      <c r="O886" s="1" t="s">
        <v>794</v>
      </c>
    </row>
    <row r="887" spans="1:15" x14ac:dyDescent="0.4">
      <c r="A887" s="1" t="s">
        <v>796</v>
      </c>
      <c r="B887" s="1" t="s">
        <v>777</v>
      </c>
      <c r="C887" s="1" t="s">
        <v>799</v>
      </c>
      <c r="D887" s="1" t="s">
        <v>783</v>
      </c>
      <c r="E887" s="1" t="s">
        <v>8018</v>
      </c>
      <c r="F887" s="1" t="s">
        <v>17</v>
      </c>
      <c r="G887" s="4" t="str">
        <f>"07071"</f>
        <v>07071</v>
      </c>
      <c r="H887" s="1">
        <v>0</v>
      </c>
      <c r="I887" s="1">
        <v>0</v>
      </c>
      <c r="J887" s="1">
        <v>0</v>
      </c>
      <c r="K887" s="1">
        <v>0</v>
      </c>
      <c r="L887" s="1" t="s">
        <v>158</v>
      </c>
      <c r="M887" s="1" t="s">
        <v>797</v>
      </c>
      <c r="N887" s="1" t="s">
        <v>13</v>
      </c>
      <c r="O887" s="1" t="s">
        <v>798</v>
      </c>
    </row>
    <row r="888" spans="1:15" x14ac:dyDescent="0.4">
      <c r="A888" s="1" t="s">
        <v>1442</v>
      </c>
      <c r="B888" s="1" t="s">
        <v>1441</v>
      </c>
      <c r="C888" s="1" t="s">
        <v>1446</v>
      </c>
      <c r="D888" s="1" t="s">
        <v>1447</v>
      </c>
      <c r="E888" s="1" t="s">
        <v>8019</v>
      </c>
      <c r="F888" s="1" t="s">
        <v>17</v>
      </c>
      <c r="G888" s="4" t="str">
        <f>"08075"</f>
        <v>08075</v>
      </c>
      <c r="H888" s="1">
        <v>0</v>
      </c>
      <c r="I888" s="1">
        <v>0</v>
      </c>
      <c r="J888" s="1">
        <v>0</v>
      </c>
      <c r="K888" s="1">
        <v>49</v>
      </c>
      <c r="L888" s="1" t="s">
        <v>1443</v>
      </c>
      <c r="M888" s="1" t="s">
        <v>1444</v>
      </c>
      <c r="N888" s="1" t="s">
        <v>13</v>
      </c>
      <c r="O888" s="1" t="s">
        <v>1445</v>
      </c>
    </row>
    <row r="889" spans="1:15" x14ac:dyDescent="0.4">
      <c r="A889" s="1" t="s">
        <v>4829</v>
      </c>
      <c r="B889" s="1" t="s">
        <v>4808</v>
      </c>
      <c r="C889" s="1" t="s">
        <v>4832</v>
      </c>
      <c r="D889" s="1" t="s">
        <v>4813</v>
      </c>
      <c r="E889" s="1" t="s">
        <v>4704</v>
      </c>
      <c r="F889" s="1" t="s">
        <v>17</v>
      </c>
      <c r="G889" s="4" t="str">
        <f>"08857-3045"</f>
        <v>08857-3045</v>
      </c>
      <c r="H889" s="1">
        <v>0</v>
      </c>
      <c r="I889" s="1">
        <v>0</v>
      </c>
      <c r="J889" s="1">
        <v>0</v>
      </c>
      <c r="K889" s="1">
        <v>27</v>
      </c>
      <c r="L889" s="1" t="s">
        <v>380</v>
      </c>
      <c r="M889" s="1" t="s">
        <v>4830</v>
      </c>
      <c r="N889" s="1" t="s">
        <v>13</v>
      </c>
      <c r="O889" s="1" t="s">
        <v>4831</v>
      </c>
    </row>
    <row r="890" spans="1:15" x14ac:dyDescent="0.4">
      <c r="A890" s="1" t="s">
        <v>1359</v>
      </c>
      <c r="B890" s="1" t="s">
        <v>1349</v>
      </c>
      <c r="C890" s="1" t="s">
        <v>1362</v>
      </c>
      <c r="D890" s="1" t="s">
        <v>1354</v>
      </c>
      <c r="E890" s="1" t="s">
        <v>8019</v>
      </c>
      <c r="F890" s="1" t="s">
        <v>17</v>
      </c>
      <c r="G890" s="4" t="str">
        <f>"08505-1767"</f>
        <v>08505-1767</v>
      </c>
      <c r="H890" s="1">
        <v>0</v>
      </c>
      <c r="I890" s="1">
        <v>0</v>
      </c>
      <c r="J890" s="1">
        <v>0</v>
      </c>
      <c r="K890" s="1">
        <v>0</v>
      </c>
      <c r="L890" s="1" t="s">
        <v>146</v>
      </c>
      <c r="M890" s="1" t="s">
        <v>1360</v>
      </c>
      <c r="N890" s="1" t="s">
        <v>13</v>
      </c>
      <c r="O890" s="1" t="s">
        <v>1361</v>
      </c>
    </row>
    <row r="891" spans="1:15" x14ac:dyDescent="0.4">
      <c r="A891" s="1" t="s">
        <v>6923</v>
      </c>
      <c r="B891" s="1" t="s">
        <v>6917</v>
      </c>
      <c r="C891" s="1" t="s">
        <v>6926</v>
      </c>
      <c r="D891" s="1" t="s">
        <v>6922</v>
      </c>
      <c r="E891" s="1" t="s">
        <v>2670</v>
      </c>
      <c r="F891" s="1" t="s">
        <v>17</v>
      </c>
      <c r="G891" s="4" t="str">
        <f>"07480-1511"</f>
        <v>07480-1511</v>
      </c>
      <c r="H891" s="1">
        <v>0</v>
      </c>
      <c r="I891" s="1">
        <v>0</v>
      </c>
      <c r="J891" s="1">
        <v>0</v>
      </c>
      <c r="K891" s="1">
        <v>0</v>
      </c>
      <c r="L891" s="1" t="s">
        <v>1008</v>
      </c>
      <c r="M891" s="1" t="s">
        <v>6924</v>
      </c>
      <c r="N891" s="1" t="s">
        <v>13</v>
      </c>
      <c r="O891" s="1" t="s">
        <v>6925</v>
      </c>
    </row>
    <row r="892" spans="1:15" x14ac:dyDescent="0.4">
      <c r="A892" s="1" t="s">
        <v>5872</v>
      </c>
      <c r="B892" s="1" t="s">
        <v>5866</v>
      </c>
      <c r="C892" s="1" t="s">
        <v>5875</v>
      </c>
      <c r="D892" s="1" t="s">
        <v>5867</v>
      </c>
      <c r="E892" s="1" t="s">
        <v>1503</v>
      </c>
      <c r="F892" s="1" t="s">
        <v>17</v>
      </c>
      <c r="G892" s="4" t="str">
        <f>"07940"</f>
        <v>07940</v>
      </c>
      <c r="H892" s="1">
        <v>0</v>
      </c>
      <c r="I892" s="1">
        <v>0</v>
      </c>
      <c r="J892" s="1">
        <v>0</v>
      </c>
      <c r="K892" s="1">
        <v>0</v>
      </c>
      <c r="L892" s="1" t="s">
        <v>128</v>
      </c>
      <c r="M892" s="1" t="s">
        <v>5873</v>
      </c>
      <c r="N892" s="1" t="s">
        <v>13</v>
      </c>
      <c r="O892" s="1" t="s">
        <v>5874</v>
      </c>
    </row>
    <row r="893" spans="1:15" x14ac:dyDescent="0.4">
      <c r="A893" s="1" t="s">
        <v>5876</v>
      </c>
      <c r="B893" s="1" t="s">
        <v>5866</v>
      </c>
      <c r="C893" s="1" t="s">
        <v>5879</v>
      </c>
      <c r="D893" s="1" t="s">
        <v>5867</v>
      </c>
      <c r="E893" s="1" t="s">
        <v>1503</v>
      </c>
      <c r="F893" s="1" t="s">
        <v>17</v>
      </c>
      <c r="G893" s="4" t="str">
        <f>"07940"</f>
        <v>07940</v>
      </c>
      <c r="H893" s="1">
        <v>0</v>
      </c>
      <c r="I893" s="1">
        <v>0</v>
      </c>
      <c r="J893" s="1">
        <v>0</v>
      </c>
      <c r="K893" s="1">
        <v>0</v>
      </c>
      <c r="L893" s="1" t="s">
        <v>123</v>
      </c>
      <c r="M893" s="1" t="s">
        <v>5877</v>
      </c>
      <c r="N893" s="1" t="s">
        <v>13</v>
      </c>
      <c r="O893" s="1" t="s">
        <v>5878</v>
      </c>
    </row>
    <row r="894" spans="1:15" x14ac:dyDescent="0.4">
      <c r="A894" s="1" t="s">
        <v>4833</v>
      </c>
      <c r="B894" s="1" t="s">
        <v>4808</v>
      </c>
      <c r="C894" s="1" t="s">
        <v>4835</v>
      </c>
      <c r="D894" s="1" t="s">
        <v>4632</v>
      </c>
      <c r="E894" s="1" t="s">
        <v>4704</v>
      </c>
      <c r="F894" s="1" t="s">
        <v>17</v>
      </c>
      <c r="G894" s="4" t="str">
        <f>"08859-1211"</f>
        <v>08859-1211</v>
      </c>
      <c r="H894" s="1">
        <v>0</v>
      </c>
      <c r="I894" s="1">
        <v>0</v>
      </c>
      <c r="J894" s="1">
        <v>0</v>
      </c>
      <c r="K894" s="1">
        <v>47</v>
      </c>
      <c r="L894" s="1" t="s">
        <v>434</v>
      </c>
      <c r="M894" s="1" t="s">
        <v>2341</v>
      </c>
      <c r="N894" s="1" t="s">
        <v>13</v>
      </c>
      <c r="O894" s="1" t="s">
        <v>4834</v>
      </c>
    </row>
    <row r="895" spans="1:15" x14ac:dyDescent="0.4">
      <c r="A895" s="1" t="s">
        <v>6632</v>
      </c>
      <c r="B895" s="1" t="s">
        <v>6622</v>
      </c>
      <c r="C895" s="1" t="s">
        <v>6636</v>
      </c>
      <c r="D895" s="1" t="s">
        <v>2670</v>
      </c>
      <c r="E895" s="1" t="s">
        <v>2670</v>
      </c>
      <c r="F895" s="1" t="s">
        <v>17</v>
      </c>
      <c r="G895" s="4" t="str">
        <f>"07055"</f>
        <v>07055</v>
      </c>
      <c r="H895" s="1">
        <v>0</v>
      </c>
      <c r="I895" s="1">
        <v>0</v>
      </c>
      <c r="J895" s="1">
        <v>0</v>
      </c>
      <c r="K895" s="1">
        <v>212</v>
      </c>
      <c r="L895" s="1" t="s">
        <v>6633</v>
      </c>
      <c r="M895" s="1" t="s">
        <v>6634</v>
      </c>
      <c r="N895" s="1" t="s">
        <v>13</v>
      </c>
      <c r="O895" s="1" t="s">
        <v>6635</v>
      </c>
    </row>
    <row r="896" spans="1:15" x14ac:dyDescent="0.4">
      <c r="A896" s="1" t="s">
        <v>819</v>
      </c>
      <c r="B896" s="1" t="s">
        <v>801</v>
      </c>
      <c r="C896" s="1" t="s">
        <v>821</v>
      </c>
      <c r="D896" s="1" t="s">
        <v>806</v>
      </c>
      <c r="E896" s="1" t="s">
        <v>8018</v>
      </c>
      <c r="F896" s="1" t="s">
        <v>17</v>
      </c>
      <c r="G896" s="4" t="str">
        <f>"07430"</f>
        <v>07430</v>
      </c>
      <c r="H896" s="1">
        <v>0</v>
      </c>
      <c r="I896" s="1">
        <v>0</v>
      </c>
      <c r="J896" s="1">
        <v>0</v>
      </c>
      <c r="K896" s="1">
        <v>0</v>
      </c>
      <c r="L896" s="1" t="s">
        <v>434</v>
      </c>
      <c r="M896" s="1" t="s">
        <v>568</v>
      </c>
      <c r="N896" s="1" t="s">
        <v>13</v>
      </c>
      <c r="O896" s="1" t="s">
        <v>820</v>
      </c>
    </row>
    <row r="897" spans="1:15" x14ac:dyDescent="0.4">
      <c r="A897" s="1" t="s">
        <v>3732</v>
      </c>
      <c r="B897" s="1" t="s">
        <v>3726</v>
      </c>
      <c r="C897" s="1" t="s">
        <v>3735</v>
      </c>
      <c r="D897" s="1" t="s">
        <v>3736</v>
      </c>
      <c r="E897" s="1" t="s">
        <v>8020</v>
      </c>
      <c r="F897" s="1" t="s">
        <v>17</v>
      </c>
      <c r="G897" s="4" t="str">
        <f>"08344-5341"</f>
        <v>08344-5341</v>
      </c>
      <c r="H897" s="1">
        <v>0</v>
      </c>
      <c r="I897" s="1">
        <v>0</v>
      </c>
      <c r="J897" s="1">
        <v>0</v>
      </c>
      <c r="K897" s="1">
        <v>0</v>
      </c>
      <c r="L897" s="1" t="s">
        <v>43</v>
      </c>
      <c r="M897" s="1" t="s">
        <v>3733</v>
      </c>
      <c r="N897" s="1" t="s">
        <v>13</v>
      </c>
      <c r="O897" s="1" t="s">
        <v>3734</v>
      </c>
    </row>
    <row r="898" spans="1:15" x14ac:dyDescent="0.4">
      <c r="A898" s="1" t="s">
        <v>200</v>
      </c>
      <c r="B898" s="1" t="s">
        <v>200</v>
      </c>
      <c r="C898" s="1" t="s">
        <v>204</v>
      </c>
      <c r="D898" s="1" t="s">
        <v>196</v>
      </c>
      <c r="E898" s="1" t="s">
        <v>8017</v>
      </c>
      <c r="F898" s="1" t="s">
        <v>17</v>
      </c>
      <c r="G898" s="4" t="str">
        <f>"08221"</f>
        <v>08221</v>
      </c>
      <c r="H898" s="1">
        <v>0</v>
      </c>
      <c r="I898" s="1">
        <v>0</v>
      </c>
      <c r="J898" s="1">
        <v>0</v>
      </c>
      <c r="K898" s="1">
        <v>0</v>
      </c>
      <c r="L898" s="1" t="s">
        <v>201</v>
      </c>
      <c r="M898" s="1" t="s">
        <v>202</v>
      </c>
      <c r="N898" s="1" t="s">
        <v>13</v>
      </c>
      <c r="O898" s="1" t="s">
        <v>203</v>
      </c>
    </row>
    <row r="899" spans="1:15" x14ac:dyDescent="0.4">
      <c r="A899" s="1" t="s">
        <v>7737</v>
      </c>
      <c r="B899" s="1" t="s">
        <v>7724</v>
      </c>
      <c r="C899" s="1" t="s">
        <v>7740</v>
      </c>
      <c r="D899" s="1" t="s">
        <v>7728</v>
      </c>
      <c r="E899" s="1" t="s">
        <v>7833</v>
      </c>
      <c r="F899" s="1" t="s">
        <v>17</v>
      </c>
      <c r="G899" s="4" t="str">
        <f>"07076"</f>
        <v>07076</v>
      </c>
      <c r="H899" s="1">
        <v>0</v>
      </c>
      <c r="I899" s="1">
        <v>0</v>
      </c>
      <c r="J899" s="1">
        <v>0</v>
      </c>
      <c r="K899" s="1">
        <v>0</v>
      </c>
      <c r="L899" s="1" t="s">
        <v>766</v>
      </c>
      <c r="M899" s="1" t="s">
        <v>7738</v>
      </c>
      <c r="N899" s="1" t="s">
        <v>13</v>
      </c>
      <c r="O899" s="1" t="s">
        <v>7739</v>
      </c>
    </row>
    <row r="900" spans="1:15" x14ac:dyDescent="0.4">
      <c r="A900" s="1" t="s">
        <v>1225</v>
      </c>
      <c r="B900" s="1" t="s">
        <v>1219</v>
      </c>
      <c r="C900" s="1" t="s">
        <v>1229</v>
      </c>
      <c r="D900" s="1" t="s">
        <v>1224</v>
      </c>
      <c r="E900" s="1" t="s">
        <v>8018</v>
      </c>
      <c r="F900" s="1" t="s">
        <v>17</v>
      </c>
      <c r="G900" s="4" t="str">
        <f>"07670"</f>
        <v>07670</v>
      </c>
      <c r="H900" s="1">
        <v>0</v>
      </c>
      <c r="I900" s="1">
        <v>0</v>
      </c>
      <c r="J900" s="1">
        <v>0</v>
      </c>
      <c r="K900" s="1">
        <v>37</v>
      </c>
      <c r="L900" s="1" t="s">
        <v>1226</v>
      </c>
      <c r="M900" s="1" t="s">
        <v>1227</v>
      </c>
      <c r="N900" s="1" t="s">
        <v>13</v>
      </c>
      <c r="O900" s="1" t="s">
        <v>1228</v>
      </c>
    </row>
    <row r="901" spans="1:15" x14ac:dyDescent="0.4">
      <c r="A901" s="1" t="s">
        <v>3302</v>
      </c>
      <c r="B901" s="1" t="s">
        <v>3249</v>
      </c>
      <c r="C901" s="1" t="s">
        <v>3306</v>
      </c>
      <c r="D901" s="1" t="s">
        <v>2526</v>
      </c>
      <c r="E901" s="1" t="s">
        <v>8024</v>
      </c>
      <c r="F901" s="1" t="s">
        <v>17</v>
      </c>
      <c r="G901" s="4" t="str">
        <f>"07108"</f>
        <v>07108</v>
      </c>
      <c r="H901" s="1">
        <v>0</v>
      </c>
      <c r="I901" s="1">
        <v>0</v>
      </c>
      <c r="J901" s="1">
        <v>0</v>
      </c>
      <c r="K901" s="1">
        <v>0</v>
      </c>
      <c r="L901" s="1" t="s">
        <v>3303</v>
      </c>
      <c r="M901" s="1" t="s">
        <v>3304</v>
      </c>
      <c r="N901" s="1" t="s">
        <v>13</v>
      </c>
      <c r="O901" s="1" t="s">
        <v>3305</v>
      </c>
    </row>
    <row r="902" spans="1:15" x14ac:dyDescent="0.4">
      <c r="A902" s="1" t="s">
        <v>5215</v>
      </c>
      <c r="B902" s="1" t="s">
        <v>5199</v>
      </c>
      <c r="C902" s="1" t="s">
        <v>5218</v>
      </c>
      <c r="D902" s="1" t="s">
        <v>5219</v>
      </c>
      <c r="E902" s="1" t="s">
        <v>8027</v>
      </c>
      <c r="F902" s="1" t="s">
        <v>17</v>
      </c>
      <c r="G902" s="4" t="str">
        <f>"07726-3498"</f>
        <v>07726-3498</v>
      </c>
      <c r="H902" s="1">
        <v>0</v>
      </c>
      <c r="I902" s="1">
        <v>0</v>
      </c>
      <c r="J902" s="1">
        <v>0</v>
      </c>
      <c r="K902" s="1">
        <v>0</v>
      </c>
      <c r="L902" s="1" t="s">
        <v>1579</v>
      </c>
      <c r="M902" s="1" t="s">
        <v>5216</v>
      </c>
      <c r="N902" s="1" t="s">
        <v>13</v>
      </c>
      <c r="O902" s="1" t="s">
        <v>5217</v>
      </c>
    </row>
    <row r="903" spans="1:15" x14ac:dyDescent="0.4">
      <c r="A903" s="1" t="s">
        <v>5399</v>
      </c>
      <c r="B903" s="1" t="s">
        <v>5389</v>
      </c>
      <c r="C903" s="1" t="s">
        <v>5402</v>
      </c>
      <c r="D903" s="1" t="s">
        <v>5398</v>
      </c>
      <c r="E903" s="1" t="s">
        <v>8027</v>
      </c>
      <c r="F903" s="1" t="s">
        <v>17</v>
      </c>
      <c r="G903" s="4" t="str">
        <f>"07726-4006"</f>
        <v>07726-4006</v>
      </c>
      <c r="H903" s="1">
        <v>0</v>
      </c>
      <c r="I903" s="1">
        <v>0</v>
      </c>
      <c r="J903" s="1">
        <v>0</v>
      </c>
      <c r="K903" s="1">
        <v>0</v>
      </c>
      <c r="L903" s="1" t="s">
        <v>158</v>
      </c>
      <c r="M903" s="1" t="s">
        <v>5400</v>
      </c>
      <c r="N903" s="1" t="s">
        <v>13</v>
      </c>
      <c r="O903" s="1" t="s">
        <v>5401</v>
      </c>
    </row>
    <row r="904" spans="1:15" x14ac:dyDescent="0.4">
      <c r="A904" s="1" t="s">
        <v>5421</v>
      </c>
      <c r="B904" s="1" t="s">
        <v>5419</v>
      </c>
      <c r="C904" s="1" t="s">
        <v>5424</v>
      </c>
      <c r="D904" s="1" t="s">
        <v>5420</v>
      </c>
      <c r="E904" s="1" t="s">
        <v>8027</v>
      </c>
      <c r="F904" s="1" t="s">
        <v>17</v>
      </c>
      <c r="G904" s="4" t="str">
        <f>"08736-2893"</f>
        <v>08736-2893</v>
      </c>
      <c r="H904" s="1">
        <v>0</v>
      </c>
      <c r="I904" s="1">
        <v>0</v>
      </c>
      <c r="J904" s="1">
        <v>0</v>
      </c>
      <c r="K904" s="1">
        <v>0</v>
      </c>
      <c r="L904" s="1" t="s">
        <v>1408</v>
      </c>
      <c r="M904" s="1" t="s">
        <v>5422</v>
      </c>
      <c r="N904" s="1" t="s">
        <v>13</v>
      </c>
      <c r="O904" s="1" t="s">
        <v>5423</v>
      </c>
    </row>
    <row r="905" spans="1:15" x14ac:dyDescent="0.4">
      <c r="A905" s="1" t="s">
        <v>6370</v>
      </c>
      <c r="B905" s="1" t="s">
        <v>6367</v>
      </c>
      <c r="C905" s="1" t="s">
        <v>6372</v>
      </c>
      <c r="D905" s="1" t="s">
        <v>6369</v>
      </c>
      <c r="E905" s="1" t="s">
        <v>8028</v>
      </c>
      <c r="F905" s="1" t="s">
        <v>17</v>
      </c>
      <c r="G905" s="4" t="str">
        <f>"08759"</f>
        <v>08759</v>
      </c>
      <c r="H905" s="1">
        <v>0</v>
      </c>
      <c r="I905" s="1">
        <v>0</v>
      </c>
      <c r="J905" s="1">
        <v>0</v>
      </c>
      <c r="K905" s="1">
        <v>0</v>
      </c>
      <c r="L905" s="1" t="s">
        <v>318</v>
      </c>
      <c r="M905" s="1" t="s">
        <v>812</v>
      </c>
      <c r="N905" s="1" t="s">
        <v>13</v>
      </c>
      <c r="O905" s="1" t="s">
        <v>6371</v>
      </c>
    </row>
    <row r="906" spans="1:15" x14ac:dyDescent="0.4">
      <c r="A906" s="1" t="s">
        <v>6373</v>
      </c>
      <c r="B906" s="1" t="s">
        <v>6367</v>
      </c>
      <c r="C906" s="1" t="s">
        <v>6376</v>
      </c>
      <c r="D906" s="1" t="s">
        <v>6369</v>
      </c>
      <c r="E906" s="1" t="s">
        <v>8028</v>
      </c>
      <c r="F906" s="1" t="s">
        <v>17</v>
      </c>
      <c r="G906" s="4" t="str">
        <f>"08759"</f>
        <v>08759</v>
      </c>
      <c r="H906" s="1">
        <v>0</v>
      </c>
      <c r="I906" s="1">
        <v>0</v>
      </c>
      <c r="J906" s="1">
        <v>0</v>
      </c>
      <c r="K906" s="1">
        <v>0</v>
      </c>
      <c r="L906" s="1" t="s">
        <v>327</v>
      </c>
      <c r="M906" s="1" t="s">
        <v>6374</v>
      </c>
      <c r="N906" s="1" t="s">
        <v>13</v>
      </c>
      <c r="O906" s="1" t="s">
        <v>6375</v>
      </c>
    </row>
    <row r="907" spans="1:15" x14ac:dyDescent="0.4">
      <c r="A907" s="1" t="s">
        <v>916</v>
      </c>
      <c r="B907" s="1" t="s">
        <v>904</v>
      </c>
      <c r="C907" s="1" t="s">
        <v>920</v>
      </c>
      <c r="D907" s="1" t="s">
        <v>910</v>
      </c>
      <c r="E907" s="1" t="s">
        <v>8018</v>
      </c>
      <c r="F907" s="1" t="s">
        <v>17</v>
      </c>
      <c r="G907" s="4" t="str">
        <f>"07436-4012"</f>
        <v>07436-4012</v>
      </c>
      <c r="H907" s="1">
        <v>0</v>
      </c>
      <c r="I907" s="1">
        <v>0</v>
      </c>
      <c r="J907" s="1">
        <v>0</v>
      </c>
      <c r="K907" s="1">
        <v>48</v>
      </c>
      <c r="L907" s="1" t="s">
        <v>917</v>
      </c>
      <c r="M907" s="1" t="s">
        <v>918</v>
      </c>
      <c r="N907" s="1" t="s">
        <v>13</v>
      </c>
      <c r="O907" s="1" t="s">
        <v>919</v>
      </c>
    </row>
    <row r="908" spans="1:15" x14ac:dyDescent="0.4">
      <c r="A908" s="1" t="s">
        <v>1546</v>
      </c>
      <c r="B908" s="1" t="s">
        <v>1544</v>
      </c>
      <c r="C908" s="1" t="s">
        <v>1549</v>
      </c>
      <c r="D908" s="1" t="s">
        <v>1545</v>
      </c>
      <c r="E908" s="1" t="s">
        <v>8019</v>
      </c>
      <c r="F908" s="1" t="s">
        <v>17</v>
      </c>
      <c r="G908" s="4" t="str">
        <f>"08022"</f>
        <v>08022</v>
      </c>
      <c r="H908" s="1">
        <v>0</v>
      </c>
      <c r="I908" s="1">
        <v>0</v>
      </c>
      <c r="J908" s="1">
        <v>0</v>
      </c>
      <c r="K908" s="1">
        <v>0</v>
      </c>
      <c r="L908" s="1" t="s">
        <v>67</v>
      </c>
      <c r="M908" s="1" t="s">
        <v>1547</v>
      </c>
      <c r="N908" s="1" t="s">
        <v>13</v>
      </c>
      <c r="O908" s="1" t="s">
        <v>1548</v>
      </c>
    </row>
    <row r="909" spans="1:15" x14ac:dyDescent="0.4">
      <c r="A909" s="1" t="s">
        <v>1823</v>
      </c>
      <c r="B909" s="1" t="s">
        <v>1811</v>
      </c>
      <c r="C909" s="1" t="s">
        <v>1825</v>
      </c>
      <c r="D909" s="1" t="s">
        <v>1816</v>
      </c>
      <c r="E909" s="1" t="s">
        <v>1909</v>
      </c>
      <c r="F909" s="1" t="s">
        <v>17</v>
      </c>
      <c r="G909" s="4" t="str">
        <f>"08106"</f>
        <v>08106</v>
      </c>
      <c r="H909" s="1">
        <v>0</v>
      </c>
      <c r="I909" s="1">
        <v>0</v>
      </c>
      <c r="J909" s="1">
        <v>0</v>
      </c>
      <c r="K909" s="1">
        <v>0</v>
      </c>
      <c r="L909" s="1" t="s">
        <v>151</v>
      </c>
      <c r="M909" s="1" t="s">
        <v>1820</v>
      </c>
      <c r="N909" s="1" t="s">
        <v>13</v>
      </c>
      <c r="O909" s="1" t="s">
        <v>1824</v>
      </c>
    </row>
    <row r="910" spans="1:15" x14ac:dyDescent="0.4">
      <c r="A910" s="1" t="s">
        <v>7187</v>
      </c>
      <c r="B910" s="1" t="s">
        <v>7181</v>
      </c>
      <c r="C910" s="1" t="s">
        <v>7189</v>
      </c>
      <c r="D910" s="1" t="s">
        <v>7186</v>
      </c>
      <c r="E910" s="1" t="s">
        <v>2471</v>
      </c>
      <c r="F910" s="1" t="s">
        <v>17</v>
      </c>
      <c r="G910" s="4" t="str">
        <f>"08835"</f>
        <v>08835</v>
      </c>
      <c r="H910" s="1">
        <v>0</v>
      </c>
      <c r="I910" s="1">
        <v>0</v>
      </c>
      <c r="J910" s="1">
        <v>0</v>
      </c>
      <c r="K910" s="1">
        <v>0</v>
      </c>
      <c r="L910" s="1" t="s">
        <v>917</v>
      </c>
      <c r="M910" s="1" t="s">
        <v>3132</v>
      </c>
      <c r="N910" s="1" t="s">
        <v>13</v>
      </c>
      <c r="O910" s="1" t="s">
        <v>7188</v>
      </c>
    </row>
    <row r="911" spans="1:15" x14ac:dyDescent="0.4">
      <c r="A911" s="1" t="s">
        <v>5590</v>
      </c>
      <c r="B911" s="1" t="s">
        <v>5589</v>
      </c>
      <c r="C911" s="1" t="s">
        <v>5592</v>
      </c>
      <c r="D911" s="1" t="s">
        <v>5593</v>
      </c>
      <c r="E911" s="1" t="s">
        <v>8027</v>
      </c>
      <c r="F911" s="1" t="s">
        <v>17</v>
      </c>
      <c r="G911" s="4" t="str">
        <f>"07757-1600"</f>
        <v>07757-1600</v>
      </c>
      <c r="H911" s="1">
        <v>0</v>
      </c>
      <c r="I911" s="1">
        <v>0</v>
      </c>
      <c r="J911" s="1">
        <v>0</v>
      </c>
      <c r="K911" s="1">
        <v>0</v>
      </c>
      <c r="L911" s="1" t="s">
        <v>197</v>
      </c>
      <c r="M911" s="1" t="s">
        <v>639</v>
      </c>
      <c r="N911" s="1" t="s">
        <v>13</v>
      </c>
      <c r="O911" s="1" t="s">
        <v>5591</v>
      </c>
    </row>
    <row r="912" spans="1:15" x14ac:dyDescent="0.4">
      <c r="A912" s="1" t="s">
        <v>1552</v>
      </c>
      <c r="B912" s="1" t="s">
        <v>1550</v>
      </c>
      <c r="C912" s="1" t="s">
        <v>1555</v>
      </c>
      <c r="D912" s="1" t="s">
        <v>1551</v>
      </c>
      <c r="E912" s="1" t="s">
        <v>8019</v>
      </c>
      <c r="F912" s="1" t="s">
        <v>17</v>
      </c>
      <c r="G912" s="4" t="str">
        <f>"08052"</f>
        <v>08052</v>
      </c>
      <c r="H912" s="1">
        <v>0</v>
      </c>
      <c r="I912" s="1">
        <v>0</v>
      </c>
      <c r="J912" s="1">
        <v>0</v>
      </c>
      <c r="K912" s="1">
        <v>0</v>
      </c>
      <c r="L912" s="1" t="s">
        <v>1408</v>
      </c>
      <c r="M912" s="1" t="s">
        <v>1553</v>
      </c>
      <c r="N912" s="1" t="s">
        <v>13</v>
      </c>
      <c r="O912" s="1" t="s">
        <v>1554</v>
      </c>
    </row>
    <row r="913" spans="1:15" x14ac:dyDescent="0.4">
      <c r="A913" s="1" t="s">
        <v>3442</v>
      </c>
      <c r="B913" s="1" t="s">
        <v>3430</v>
      </c>
      <c r="C913" s="1" t="s">
        <v>3445</v>
      </c>
      <c r="D913" s="1" t="s">
        <v>3435</v>
      </c>
      <c r="E913" s="1" t="s">
        <v>8024</v>
      </c>
      <c r="F913" s="1" t="s">
        <v>17</v>
      </c>
      <c r="G913" s="4" t="str">
        <f>"07040-2620"</f>
        <v>07040-2620</v>
      </c>
      <c r="H913" s="1">
        <v>0</v>
      </c>
      <c r="I913" s="1">
        <v>0</v>
      </c>
      <c r="J913" s="1">
        <v>0</v>
      </c>
      <c r="K913" s="1">
        <v>0</v>
      </c>
      <c r="L913" s="1" t="s">
        <v>425</v>
      </c>
      <c r="M913" s="1" t="s">
        <v>3443</v>
      </c>
      <c r="N913" s="1" t="s">
        <v>13</v>
      </c>
      <c r="O913" s="1" t="s">
        <v>3444</v>
      </c>
    </row>
    <row r="914" spans="1:15" x14ac:dyDescent="0.4">
      <c r="A914" s="1" t="s">
        <v>1689</v>
      </c>
      <c r="B914" s="1" t="s">
        <v>1666</v>
      </c>
      <c r="C914" s="1" t="s">
        <v>1692</v>
      </c>
      <c r="D914" s="1" t="s">
        <v>1693</v>
      </c>
      <c r="E914" s="1" t="s">
        <v>8019</v>
      </c>
      <c r="F914" s="1" t="s">
        <v>17</v>
      </c>
      <c r="G914" s="4" t="str">
        <f>"08068"</f>
        <v>08068</v>
      </c>
      <c r="H914" s="1">
        <v>0</v>
      </c>
      <c r="I914" s="1">
        <v>0</v>
      </c>
      <c r="J914" s="1">
        <v>0</v>
      </c>
      <c r="K914" s="1">
        <v>0</v>
      </c>
      <c r="L914" s="1" t="s">
        <v>811</v>
      </c>
      <c r="M914" s="1" t="s">
        <v>1690</v>
      </c>
      <c r="N914" s="1" t="s">
        <v>13</v>
      </c>
      <c r="O914" s="1" t="s">
        <v>1691</v>
      </c>
    </row>
    <row r="915" spans="1:15" x14ac:dyDescent="0.4">
      <c r="A915" s="1" t="s">
        <v>3718</v>
      </c>
      <c r="B915" s="1" t="s">
        <v>3708</v>
      </c>
      <c r="C915" s="1" t="s">
        <v>3721</v>
      </c>
      <c r="D915" s="1" t="s">
        <v>3722</v>
      </c>
      <c r="E915" s="1" t="s">
        <v>8020</v>
      </c>
      <c r="F915" s="1" t="s">
        <v>17</v>
      </c>
      <c r="G915" s="4" t="str">
        <f>"08085"</f>
        <v>08085</v>
      </c>
      <c r="H915" s="1">
        <v>2</v>
      </c>
      <c r="I915" s="1">
        <v>0.8</v>
      </c>
      <c r="J915" s="1">
        <v>0</v>
      </c>
      <c r="K915" s="1">
        <v>211</v>
      </c>
      <c r="L915" s="1" t="s">
        <v>1173</v>
      </c>
      <c r="M915" s="1" t="s">
        <v>3719</v>
      </c>
      <c r="N915" s="1" t="s">
        <v>13</v>
      </c>
      <c r="O915" s="1" t="s">
        <v>3720</v>
      </c>
    </row>
    <row r="916" spans="1:15" x14ac:dyDescent="0.4">
      <c r="A916" s="1" t="s">
        <v>2632</v>
      </c>
      <c r="B916" s="1" t="s">
        <v>2631</v>
      </c>
      <c r="C916" s="1" t="s">
        <v>2635</v>
      </c>
      <c r="D916" s="1" t="s">
        <v>2526</v>
      </c>
      <c r="E916" s="1" t="s">
        <v>8022</v>
      </c>
      <c r="F916" s="1" t="s">
        <v>17</v>
      </c>
      <c r="G916" s="4" t="str">
        <f>"07104"</f>
        <v>07104</v>
      </c>
      <c r="H916" s="1">
        <v>0</v>
      </c>
      <c r="I916" s="1">
        <v>0</v>
      </c>
      <c r="J916" s="1">
        <v>0</v>
      </c>
      <c r="K916" s="1">
        <v>63</v>
      </c>
      <c r="L916" s="1" t="s">
        <v>1336</v>
      </c>
      <c r="M916" s="1" t="s">
        <v>2633</v>
      </c>
      <c r="N916" s="1" t="s">
        <v>13</v>
      </c>
      <c r="O916" s="1" t="s">
        <v>2634</v>
      </c>
    </row>
    <row r="917" spans="1:15" x14ac:dyDescent="0.4">
      <c r="A917" s="1" t="s">
        <v>2906</v>
      </c>
      <c r="B917" s="1" t="s">
        <v>2878</v>
      </c>
      <c r="C917" s="1" t="s">
        <v>2909</v>
      </c>
      <c r="D917" s="1" t="s">
        <v>2796</v>
      </c>
      <c r="E917" s="1" t="s">
        <v>8023</v>
      </c>
      <c r="F917" s="1" t="s">
        <v>17</v>
      </c>
      <c r="G917" s="4" t="str">
        <f>"08360-2060"</f>
        <v>08360-2060</v>
      </c>
      <c r="H917" s="1">
        <v>0</v>
      </c>
      <c r="I917" s="1">
        <v>0</v>
      </c>
      <c r="J917" s="1">
        <v>0</v>
      </c>
      <c r="K917" s="1">
        <v>77</v>
      </c>
      <c r="L917" s="1" t="s">
        <v>146</v>
      </c>
      <c r="M917" s="1" t="s">
        <v>2907</v>
      </c>
      <c r="N917" s="1" t="s">
        <v>13</v>
      </c>
      <c r="O917" s="1" t="s">
        <v>2908</v>
      </c>
    </row>
    <row r="918" spans="1:15" x14ac:dyDescent="0.4">
      <c r="A918" s="1" t="s">
        <v>4351</v>
      </c>
      <c r="B918" s="1" t="s">
        <v>4350</v>
      </c>
      <c r="C918" s="1" t="s">
        <v>4354</v>
      </c>
      <c r="D918" s="1" t="s">
        <v>2427</v>
      </c>
      <c r="E918" s="1" t="s">
        <v>8026</v>
      </c>
      <c r="F918" s="1" t="s">
        <v>17</v>
      </c>
      <c r="G918" s="4" t="str">
        <f>"08628"</f>
        <v>08628</v>
      </c>
      <c r="H918" s="1">
        <v>2</v>
      </c>
      <c r="I918" s="1">
        <v>3.7</v>
      </c>
      <c r="J918" s="1">
        <v>0</v>
      </c>
      <c r="K918" s="1">
        <v>3</v>
      </c>
      <c r="L918" s="1" t="s">
        <v>3023</v>
      </c>
      <c r="M918" s="1" t="s">
        <v>4352</v>
      </c>
      <c r="N918" s="1" t="s">
        <v>13</v>
      </c>
      <c r="O918" s="1" t="s">
        <v>4353</v>
      </c>
    </row>
    <row r="919" spans="1:15" x14ac:dyDescent="0.4">
      <c r="A919" s="1" t="s">
        <v>4355</v>
      </c>
      <c r="B919" s="1" t="s">
        <v>4350</v>
      </c>
      <c r="C919" s="1" t="s">
        <v>4354</v>
      </c>
      <c r="D919" s="1" t="s">
        <v>2427</v>
      </c>
      <c r="E919" s="1" t="s">
        <v>8026</v>
      </c>
      <c r="F919" s="1" t="s">
        <v>17</v>
      </c>
      <c r="G919" s="4" t="str">
        <f>"08628"</f>
        <v>08628</v>
      </c>
      <c r="H919" s="1">
        <v>0</v>
      </c>
      <c r="I919" s="1">
        <v>0</v>
      </c>
      <c r="J919" s="1">
        <v>0</v>
      </c>
      <c r="K919" s="1">
        <v>0</v>
      </c>
      <c r="L919" s="1" t="s">
        <v>247</v>
      </c>
      <c r="M919" s="1" t="s">
        <v>4356</v>
      </c>
      <c r="N919" s="1" t="s">
        <v>13</v>
      </c>
      <c r="O919" s="1" t="s">
        <v>4357</v>
      </c>
    </row>
    <row r="920" spans="1:15" x14ac:dyDescent="0.4">
      <c r="A920" s="1" t="s">
        <v>5554</v>
      </c>
      <c r="B920" s="1" t="s">
        <v>5536</v>
      </c>
      <c r="C920" s="1" t="s">
        <v>5557</v>
      </c>
      <c r="D920" s="1" t="s">
        <v>5558</v>
      </c>
      <c r="E920" s="1" t="s">
        <v>8027</v>
      </c>
      <c r="F920" s="1" t="s">
        <v>17</v>
      </c>
      <c r="G920" s="4" t="str">
        <f>"07732-5196"</f>
        <v>07732-5196</v>
      </c>
      <c r="H920" s="1">
        <v>0</v>
      </c>
      <c r="I920" s="1">
        <v>0</v>
      </c>
      <c r="J920" s="1">
        <v>0</v>
      </c>
      <c r="K920" s="1">
        <v>0</v>
      </c>
      <c r="L920" s="1" t="s">
        <v>5555</v>
      </c>
      <c r="M920" s="1" t="s">
        <v>1729</v>
      </c>
      <c r="N920" s="1" t="s">
        <v>13</v>
      </c>
      <c r="O920" s="1" t="s">
        <v>5556</v>
      </c>
    </row>
    <row r="921" spans="1:15" x14ac:dyDescent="0.4">
      <c r="A921" s="1" t="s">
        <v>6378</v>
      </c>
      <c r="B921" s="1" t="s">
        <v>6377</v>
      </c>
      <c r="C921" s="1" t="s">
        <v>6380</v>
      </c>
      <c r="D921" s="1" t="s">
        <v>6381</v>
      </c>
      <c r="E921" s="1" t="s">
        <v>8028</v>
      </c>
      <c r="F921" s="1" t="s">
        <v>17</v>
      </c>
      <c r="G921" s="4" t="str">
        <f>"08050"</f>
        <v>08050</v>
      </c>
      <c r="H921" s="1">
        <v>0</v>
      </c>
      <c r="I921" s="1">
        <v>0</v>
      </c>
      <c r="J921" s="1">
        <v>0</v>
      </c>
      <c r="K921" s="1">
        <v>0</v>
      </c>
      <c r="L921" s="1" t="s">
        <v>2003</v>
      </c>
      <c r="M921" s="1" t="s">
        <v>1267</v>
      </c>
      <c r="N921" s="1" t="s">
        <v>13</v>
      </c>
      <c r="O921" s="1" t="s">
        <v>6379</v>
      </c>
    </row>
    <row r="922" spans="1:15" x14ac:dyDescent="0.4">
      <c r="A922" s="1" t="s">
        <v>2022</v>
      </c>
      <c r="B922" s="1" t="s">
        <v>2007</v>
      </c>
      <c r="C922" s="1" t="s">
        <v>2024</v>
      </c>
      <c r="D922" s="1" t="s">
        <v>2012</v>
      </c>
      <c r="E922" s="1" t="s">
        <v>1909</v>
      </c>
      <c r="F922" s="1" t="s">
        <v>17</v>
      </c>
      <c r="G922" s="4" t="str">
        <f>"08108"</f>
        <v>08108</v>
      </c>
      <c r="H922" s="1">
        <v>0</v>
      </c>
      <c r="I922" s="1">
        <v>0</v>
      </c>
      <c r="J922" s="1">
        <v>0</v>
      </c>
      <c r="K922" s="1">
        <v>21</v>
      </c>
      <c r="L922" s="1" t="s">
        <v>1086</v>
      </c>
      <c r="M922" s="1" t="s">
        <v>421</v>
      </c>
      <c r="N922" s="1" t="s">
        <v>91</v>
      </c>
      <c r="O922" s="1" t="s">
        <v>2023</v>
      </c>
    </row>
    <row r="923" spans="1:15" x14ac:dyDescent="0.4">
      <c r="A923" s="1" t="s">
        <v>5380</v>
      </c>
      <c r="B923" s="1" t="s">
        <v>5379</v>
      </c>
      <c r="C923" s="1" t="s">
        <v>5382</v>
      </c>
      <c r="D923" s="1" t="s">
        <v>5383</v>
      </c>
      <c r="E923" s="1" t="s">
        <v>8027</v>
      </c>
      <c r="F923" s="1" t="s">
        <v>17</v>
      </c>
      <c r="G923" s="4" t="str">
        <f>"07739-1496"</f>
        <v>07739-1496</v>
      </c>
      <c r="H923" s="1">
        <v>0</v>
      </c>
      <c r="I923" s="1">
        <v>0</v>
      </c>
      <c r="J923" s="1">
        <v>0</v>
      </c>
      <c r="K923" s="1">
        <v>0</v>
      </c>
      <c r="L923" s="1" t="s">
        <v>3960</v>
      </c>
      <c r="M923" s="1" t="s">
        <v>1107</v>
      </c>
      <c r="N923" s="1" t="s">
        <v>13</v>
      </c>
      <c r="O923" s="1" t="s">
        <v>5381</v>
      </c>
    </row>
    <row r="924" spans="1:15" x14ac:dyDescent="0.4">
      <c r="A924" s="1" t="s">
        <v>5439</v>
      </c>
      <c r="B924" s="1" t="s">
        <v>5425</v>
      </c>
      <c r="C924" s="1" t="s">
        <v>5442</v>
      </c>
      <c r="D924" s="1" t="s">
        <v>5224</v>
      </c>
      <c r="E924" s="1" t="s">
        <v>8027</v>
      </c>
      <c r="F924" s="1" t="s">
        <v>17</v>
      </c>
      <c r="G924" s="4" t="str">
        <f>"07746-1596"</f>
        <v>07746-1596</v>
      </c>
      <c r="H924" s="1">
        <v>0</v>
      </c>
      <c r="I924" s="1">
        <v>0</v>
      </c>
      <c r="J924" s="1">
        <v>0</v>
      </c>
      <c r="K924" s="1">
        <v>61</v>
      </c>
      <c r="L924" s="1" t="s">
        <v>1081</v>
      </c>
      <c r="M924" s="1" t="s">
        <v>5440</v>
      </c>
      <c r="N924" s="1" t="s">
        <v>13</v>
      </c>
      <c r="O924" s="1" t="s">
        <v>5441</v>
      </c>
    </row>
    <row r="925" spans="1:15" x14ac:dyDescent="0.4">
      <c r="A925" s="1" t="s">
        <v>5220</v>
      </c>
      <c r="B925" s="1" t="s">
        <v>5199</v>
      </c>
      <c r="C925" s="1" t="s">
        <v>5223</v>
      </c>
      <c r="D925" s="1" t="s">
        <v>5224</v>
      </c>
      <c r="E925" s="1" t="s">
        <v>8027</v>
      </c>
      <c r="F925" s="1" t="s">
        <v>17</v>
      </c>
      <c r="G925" s="4" t="str">
        <f>"07746-1055"</f>
        <v>07746-1055</v>
      </c>
      <c r="H925" s="1">
        <v>0</v>
      </c>
      <c r="I925" s="1">
        <v>0</v>
      </c>
      <c r="J925" s="1">
        <v>0</v>
      </c>
      <c r="K925" s="1">
        <v>0</v>
      </c>
      <c r="L925" s="1" t="s">
        <v>128</v>
      </c>
      <c r="M925" s="1" t="s">
        <v>5221</v>
      </c>
      <c r="N925" s="1" t="s">
        <v>13</v>
      </c>
      <c r="O925" s="1" t="s">
        <v>5222</v>
      </c>
    </row>
    <row r="926" spans="1:15" x14ac:dyDescent="0.4">
      <c r="A926" s="1" t="s">
        <v>5443</v>
      </c>
      <c r="B926" s="1" t="s">
        <v>5425</v>
      </c>
      <c r="C926" s="1" t="s">
        <v>5446</v>
      </c>
      <c r="D926" s="1" t="s">
        <v>5430</v>
      </c>
      <c r="E926" s="1" t="s">
        <v>8027</v>
      </c>
      <c r="F926" s="1" t="s">
        <v>17</v>
      </c>
      <c r="G926" s="4" t="str">
        <f>"07751"</f>
        <v>07751</v>
      </c>
      <c r="H926" s="1">
        <v>0</v>
      </c>
      <c r="I926" s="1">
        <v>0</v>
      </c>
      <c r="J926" s="1">
        <v>0</v>
      </c>
      <c r="K926" s="1">
        <v>0</v>
      </c>
      <c r="L926" s="1" t="s">
        <v>434</v>
      </c>
      <c r="M926" s="1" t="s">
        <v>5444</v>
      </c>
      <c r="N926" s="1" t="s">
        <v>13</v>
      </c>
      <c r="O926" s="1" t="s">
        <v>5445</v>
      </c>
    </row>
    <row r="927" spans="1:15" x14ac:dyDescent="0.4">
      <c r="A927" s="1" t="s">
        <v>5447</v>
      </c>
      <c r="B927" s="1" t="s">
        <v>5425</v>
      </c>
      <c r="C927" s="1" t="s">
        <v>5450</v>
      </c>
      <c r="D927" s="1" t="s">
        <v>5224</v>
      </c>
      <c r="E927" s="1" t="s">
        <v>8027</v>
      </c>
      <c r="F927" s="1" t="s">
        <v>17</v>
      </c>
      <c r="G927" s="4" t="str">
        <f>"07746-1057"</f>
        <v>07746-1057</v>
      </c>
      <c r="H927" s="1">
        <v>0</v>
      </c>
      <c r="I927" s="1">
        <v>0</v>
      </c>
      <c r="J927" s="1">
        <v>0</v>
      </c>
      <c r="K927" s="1">
        <v>0</v>
      </c>
      <c r="L927" s="1" t="s">
        <v>140</v>
      </c>
      <c r="M927" s="1" t="s">
        <v>5448</v>
      </c>
      <c r="N927" s="1" t="s">
        <v>13</v>
      </c>
      <c r="O927" s="1" t="s">
        <v>5449</v>
      </c>
    </row>
    <row r="928" spans="1:15" x14ac:dyDescent="0.4">
      <c r="A928" s="1" t="s">
        <v>1491</v>
      </c>
      <c r="B928" s="1" t="s">
        <v>1474</v>
      </c>
      <c r="C928" s="1" t="s">
        <v>1495</v>
      </c>
      <c r="D928" s="1" t="s">
        <v>1480</v>
      </c>
      <c r="E928" s="1" t="s">
        <v>8019</v>
      </c>
      <c r="F928" s="1" t="s">
        <v>17</v>
      </c>
      <c r="G928" s="4" t="str">
        <f>"08053"</f>
        <v>08053</v>
      </c>
      <c r="H928" s="1">
        <v>0</v>
      </c>
      <c r="I928" s="1">
        <v>0</v>
      </c>
      <c r="J928" s="1">
        <v>0</v>
      </c>
      <c r="K928" s="1">
        <v>85</v>
      </c>
      <c r="L928" s="1" t="s">
        <v>1492</v>
      </c>
      <c r="M928" s="1" t="s">
        <v>1493</v>
      </c>
      <c r="N928" s="1" t="s">
        <v>13</v>
      </c>
      <c r="O928" s="1" t="s">
        <v>1494</v>
      </c>
    </row>
    <row r="929" spans="1:15" x14ac:dyDescent="0.4">
      <c r="A929" s="1" t="s">
        <v>1496</v>
      </c>
      <c r="B929" s="1" t="s">
        <v>1474</v>
      </c>
      <c r="C929" s="1" t="s">
        <v>1499</v>
      </c>
      <c r="D929" s="1" t="s">
        <v>1480</v>
      </c>
      <c r="E929" s="1" t="s">
        <v>8019</v>
      </c>
      <c r="F929" s="1" t="s">
        <v>17</v>
      </c>
      <c r="G929" s="4" t="str">
        <f>"08053"</f>
        <v>08053</v>
      </c>
      <c r="H929" s="1">
        <v>0</v>
      </c>
      <c r="I929" s="1">
        <v>0</v>
      </c>
      <c r="J929" s="1">
        <v>0</v>
      </c>
      <c r="K929" s="1">
        <v>0</v>
      </c>
      <c r="L929" s="1" t="s">
        <v>1497</v>
      </c>
      <c r="M929" s="1" t="s">
        <v>271</v>
      </c>
      <c r="N929" s="1" t="s">
        <v>13</v>
      </c>
      <c r="O929" s="1" t="s">
        <v>1498</v>
      </c>
    </row>
    <row r="930" spans="1:15" x14ac:dyDescent="0.4">
      <c r="A930" s="1" t="s">
        <v>3446</v>
      </c>
      <c r="B930" s="1" t="s">
        <v>3430</v>
      </c>
      <c r="C930" s="1" t="s">
        <v>3449</v>
      </c>
      <c r="D930" s="1" t="s">
        <v>3450</v>
      </c>
      <c r="E930" s="1" t="s">
        <v>8024</v>
      </c>
      <c r="F930" s="1" t="s">
        <v>17</v>
      </c>
      <c r="G930" s="4" t="str">
        <f>"07079-2367"</f>
        <v>07079-2367</v>
      </c>
      <c r="H930" s="1">
        <v>0</v>
      </c>
      <c r="I930" s="1">
        <v>0</v>
      </c>
      <c r="J930" s="1">
        <v>0</v>
      </c>
      <c r="K930" s="1">
        <v>88</v>
      </c>
      <c r="L930" s="1" t="s">
        <v>169</v>
      </c>
      <c r="M930" s="1" t="s">
        <v>3447</v>
      </c>
      <c r="N930" s="1" t="s">
        <v>1183</v>
      </c>
      <c r="O930" s="1" t="s">
        <v>3448</v>
      </c>
    </row>
    <row r="931" spans="1:15" x14ac:dyDescent="0.4">
      <c r="A931" s="1" t="s">
        <v>6928</v>
      </c>
      <c r="B931" s="1" t="s">
        <v>6917</v>
      </c>
      <c r="C931" s="1" t="s">
        <v>6930</v>
      </c>
      <c r="D931" s="1" t="s">
        <v>6922</v>
      </c>
      <c r="E931" s="1" t="s">
        <v>2670</v>
      </c>
      <c r="F931" s="1" t="s">
        <v>17</v>
      </c>
      <c r="G931" s="4" t="str">
        <f>"07480-3512"</f>
        <v>07480-3512</v>
      </c>
      <c r="H931" s="1">
        <v>0</v>
      </c>
      <c r="I931" s="1">
        <v>0</v>
      </c>
      <c r="J931" s="1">
        <v>0</v>
      </c>
      <c r="K931" s="1">
        <v>40</v>
      </c>
      <c r="L931" s="1" t="s">
        <v>632</v>
      </c>
      <c r="M931" s="1" t="s">
        <v>4902</v>
      </c>
      <c r="N931" s="1" t="s">
        <v>13</v>
      </c>
      <c r="O931" s="1" t="s">
        <v>6929</v>
      </c>
    </row>
    <row r="932" spans="1:15" x14ac:dyDescent="0.4">
      <c r="A932" s="1" t="s">
        <v>5247</v>
      </c>
      <c r="B932" s="1" t="s">
        <v>5225</v>
      </c>
      <c r="C932" s="1" t="s">
        <v>5250</v>
      </c>
      <c r="D932" s="1" t="s">
        <v>5198</v>
      </c>
      <c r="E932" s="1" t="s">
        <v>8027</v>
      </c>
      <c r="F932" s="1" t="s">
        <v>17</v>
      </c>
      <c r="G932" s="4" t="str">
        <f>"07728-3127"</f>
        <v>07728-3127</v>
      </c>
      <c r="H932" s="1">
        <v>0</v>
      </c>
      <c r="I932" s="1">
        <v>0</v>
      </c>
      <c r="J932" s="1">
        <v>0</v>
      </c>
      <c r="K932" s="1">
        <v>63</v>
      </c>
      <c r="L932" s="1" t="s">
        <v>2049</v>
      </c>
      <c r="M932" s="1" t="s">
        <v>5248</v>
      </c>
      <c r="N932" s="1" t="s">
        <v>13</v>
      </c>
      <c r="O932" s="1" t="s">
        <v>5249</v>
      </c>
    </row>
    <row r="933" spans="1:15" x14ac:dyDescent="0.4">
      <c r="A933" s="1" t="s">
        <v>6839</v>
      </c>
      <c r="B933" s="1" t="s">
        <v>6833</v>
      </c>
      <c r="C933" s="1" t="s">
        <v>6842</v>
      </c>
      <c r="D933" s="1" t="s">
        <v>6838</v>
      </c>
      <c r="E933" s="1" t="s">
        <v>2670</v>
      </c>
      <c r="F933" s="1" t="s">
        <v>17</v>
      </c>
      <c r="G933" s="4" t="str">
        <f>"07456"</f>
        <v>07456</v>
      </c>
      <c r="H933" s="1">
        <v>0</v>
      </c>
      <c r="I933" s="1">
        <v>0</v>
      </c>
      <c r="J933" s="1">
        <v>0</v>
      </c>
      <c r="K933" s="1">
        <v>0</v>
      </c>
      <c r="L933" s="1" t="s">
        <v>128</v>
      </c>
      <c r="M933" s="1" t="s">
        <v>6840</v>
      </c>
      <c r="N933" s="1" t="s">
        <v>13</v>
      </c>
      <c r="O933" s="1" t="s">
        <v>6841</v>
      </c>
    </row>
    <row r="934" spans="1:15" x14ac:dyDescent="0.4">
      <c r="A934" s="1" t="s">
        <v>4610</v>
      </c>
      <c r="B934" s="1" t="s">
        <v>4570</v>
      </c>
      <c r="C934" s="1" t="s">
        <v>4613</v>
      </c>
      <c r="D934" s="1" t="s">
        <v>4571</v>
      </c>
      <c r="E934" s="1" t="s">
        <v>4704</v>
      </c>
      <c r="F934" s="1" t="s">
        <v>17</v>
      </c>
      <c r="G934" s="4" t="str">
        <f>"08820"</f>
        <v>08820</v>
      </c>
      <c r="H934" s="1">
        <v>0</v>
      </c>
      <c r="I934" s="1">
        <v>0</v>
      </c>
      <c r="J934" s="1">
        <v>0</v>
      </c>
      <c r="K934" s="1">
        <v>76</v>
      </c>
      <c r="L934" s="1" t="s">
        <v>483</v>
      </c>
      <c r="M934" s="1" t="s">
        <v>4611</v>
      </c>
      <c r="N934" s="1" t="s">
        <v>13</v>
      </c>
      <c r="O934" s="1" t="s">
        <v>4612</v>
      </c>
    </row>
    <row r="935" spans="1:15" x14ac:dyDescent="0.4">
      <c r="A935" s="1" t="s">
        <v>4610</v>
      </c>
      <c r="B935" s="1" t="s">
        <v>4900</v>
      </c>
      <c r="C935" s="1" t="s">
        <v>4922</v>
      </c>
      <c r="D935" s="1" t="s">
        <v>4631</v>
      </c>
      <c r="E935" s="1" t="s">
        <v>4704</v>
      </c>
      <c r="F935" s="1" t="s">
        <v>17</v>
      </c>
      <c r="G935" s="4" t="str">
        <f>"08854"</f>
        <v>08854</v>
      </c>
      <c r="H935" s="1">
        <v>0</v>
      </c>
      <c r="I935" s="1">
        <v>0</v>
      </c>
      <c r="J935" s="1">
        <v>0</v>
      </c>
      <c r="K935" s="1">
        <v>76</v>
      </c>
      <c r="L935" s="1" t="s">
        <v>836</v>
      </c>
      <c r="M935" s="1" t="s">
        <v>4920</v>
      </c>
      <c r="N935" s="1" t="s">
        <v>13</v>
      </c>
      <c r="O935" s="1" t="s">
        <v>4921</v>
      </c>
    </row>
    <row r="936" spans="1:15" x14ac:dyDescent="0.4">
      <c r="A936" s="1" t="s">
        <v>3737</v>
      </c>
      <c r="B936" s="1" t="s">
        <v>3726</v>
      </c>
      <c r="C936" s="1" t="s">
        <v>3740</v>
      </c>
      <c r="D936" s="1" t="s">
        <v>3565</v>
      </c>
      <c r="E936" s="1" t="s">
        <v>8020</v>
      </c>
      <c r="F936" s="1" t="s">
        <v>17</v>
      </c>
      <c r="G936" s="4" t="str">
        <f>"08322-2355"</f>
        <v>08322-2355</v>
      </c>
      <c r="H936" s="1">
        <v>0</v>
      </c>
      <c r="I936" s="1">
        <v>0</v>
      </c>
      <c r="J936" s="1">
        <v>0</v>
      </c>
      <c r="K936" s="1">
        <v>165</v>
      </c>
      <c r="L936" s="1" t="s">
        <v>1739</v>
      </c>
      <c r="M936" s="1" t="s">
        <v>3738</v>
      </c>
      <c r="N936" s="1" t="s">
        <v>13</v>
      </c>
      <c r="O936" s="1" t="s">
        <v>3739</v>
      </c>
    </row>
    <row r="937" spans="1:15" x14ac:dyDescent="0.4">
      <c r="A937" s="1" t="s">
        <v>7416</v>
      </c>
      <c r="B937" s="1" t="s">
        <v>7406</v>
      </c>
      <c r="C937" s="1" t="s">
        <v>7419</v>
      </c>
      <c r="D937" s="1" t="s">
        <v>7415</v>
      </c>
      <c r="E937" s="1" t="s">
        <v>7833</v>
      </c>
      <c r="F937" s="1" t="s">
        <v>17</v>
      </c>
      <c r="G937" s="4" t="str">
        <f>"07922"</f>
        <v>07922</v>
      </c>
      <c r="H937" s="1">
        <v>0</v>
      </c>
      <c r="I937" s="1">
        <v>0</v>
      </c>
      <c r="J937" s="1">
        <v>0</v>
      </c>
      <c r="K937" s="1">
        <v>74</v>
      </c>
      <c r="L937" s="1" t="s">
        <v>34</v>
      </c>
      <c r="M937" s="1" t="s">
        <v>7417</v>
      </c>
      <c r="N937" s="1" t="s">
        <v>13</v>
      </c>
      <c r="O937" s="1" t="s">
        <v>7418</v>
      </c>
    </row>
    <row r="938" spans="1:15" x14ac:dyDescent="0.4">
      <c r="A938" s="1" t="s">
        <v>7033</v>
      </c>
      <c r="B938" s="1" t="s">
        <v>7032</v>
      </c>
      <c r="C938" s="1" t="s">
        <v>7035</v>
      </c>
      <c r="D938" s="1" t="s">
        <v>7027</v>
      </c>
      <c r="E938" s="1" t="s">
        <v>8029</v>
      </c>
      <c r="F938" s="1" t="s">
        <v>17</v>
      </c>
      <c r="G938" s="4" t="str">
        <f>"08098"</f>
        <v>08098</v>
      </c>
      <c r="H938" s="1">
        <v>0</v>
      </c>
      <c r="I938" s="1">
        <v>0</v>
      </c>
      <c r="J938" s="1">
        <v>0</v>
      </c>
      <c r="K938" s="1">
        <v>89</v>
      </c>
      <c r="L938" s="1" t="s">
        <v>657</v>
      </c>
      <c r="M938" s="1" t="s">
        <v>1093</v>
      </c>
      <c r="N938" s="1" t="s">
        <v>13</v>
      </c>
      <c r="O938" s="1" t="s">
        <v>7034</v>
      </c>
    </row>
    <row r="939" spans="1:15" x14ac:dyDescent="0.4">
      <c r="A939" s="1" t="s">
        <v>8056</v>
      </c>
      <c r="B939" s="1" t="s">
        <v>8056</v>
      </c>
      <c r="C939" s="1" t="s">
        <v>2182</v>
      </c>
      <c r="D939" s="1" t="s">
        <v>1909</v>
      </c>
      <c r="E939" s="1" t="s">
        <v>1909</v>
      </c>
      <c r="F939" s="1" t="s">
        <v>17</v>
      </c>
      <c r="G939" s="4" t="str">
        <f>"08105"</f>
        <v>08105</v>
      </c>
      <c r="H939" s="1">
        <v>0</v>
      </c>
      <c r="I939" s="1">
        <v>0</v>
      </c>
      <c r="J939" s="1">
        <v>0</v>
      </c>
      <c r="K939" s="1">
        <v>201</v>
      </c>
      <c r="L939" s="1" t="s">
        <v>2179</v>
      </c>
      <c r="M939" s="1" t="s">
        <v>2180</v>
      </c>
      <c r="N939" s="1" t="s">
        <v>1924</v>
      </c>
      <c r="O939" s="1" t="s">
        <v>2181</v>
      </c>
    </row>
    <row r="940" spans="1:15" x14ac:dyDescent="0.4">
      <c r="A940" s="1" t="s">
        <v>5462</v>
      </c>
      <c r="B940" s="1" t="s">
        <v>5455</v>
      </c>
      <c r="C940" s="1" t="s">
        <v>5464</v>
      </c>
      <c r="D940" s="1" t="s">
        <v>5461</v>
      </c>
      <c r="E940" s="1" t="s">
        <v>8027</v>
      </c>
      <c r="F940" s="1" t="s">
        <v>17</v>
      </c>
      <c r="G940" s="4" t="str">
        <f>"07747-2398"</f>
        <v>07747-2398</v>
      </c>
      <c r="H940" s="1">
        <v>0</v>
      </c>
      <c r="I940" s="1">
        <v>0</v>
      </c>
      <c r="J940" s="1">
        <v>0</v>
      </c>
      <c r="K940" s="1">
        <v>0</v>
      </c>
      <c r="L940" s="1" t="s">
        <v>158</v>
      </c>
      <c r="M940" s="1" t="s">
        <v>3535</v>
      </c>
      <c r="N940" s="1" t="s">
        <v>13</v>
      </c>
      <c r="O940" s="1" t="s">
        <v>5463</v>
      </c>
    </row>
    <row r="941" spans="1:15" x14ac:dyDescent="0.4">
      <c r="A941" s="1" t="s">
        <v>5465</v>
      </c>
      <c r="B941" s="1" t="s">
        <v>5455</v>
      </c>
      <c r="C941" s="1" t="s">
        <v>5468</v>
      </c>
      <c r="D941" s="1" t="s">
        <v>5456</v>
      </c>
      <c r="E941" s="1" t="s">
        <v>8027</v>
      </c>
      <c r="F941" s="1" t="s">
        <v>17</v>
      </c>
      <c r="G941" s="4" t="str">
        <f>"07721-1295"</f>
        <v>07721-1295</v>
      </c>
      <c r="H941" s="1">
        <v>0</v>
      </c>
      <c r="I941" s="1">
        <v>0</v>
      </c>
      <c r="J941" s="1">
        <v>0</v>
      </c>
      <c r="K941" s="1">
        <v>0</v>
      </c>
      <c r="L941" s="1" t="s">
        <v>236</v>
      </c>
      <c r="M941" s="1" t="s">
        <v>5466</v>
      </c>
      <c r="N941" s="1" t="s">
        <v>13</v>
      </c>
      <c r="O941" s="1" t="s">
        <v>5467</v>
      </c>
    </row>
    <row r="942" spans="1:15" x14ac:dyDescent="0.4">
      <c r="A942" s="1" t="s">
        <v>2345</v>
      </c>
      <c r="B942" s="1" t="s">
        <v>2343</v>
      </c>
      <c r="C942" s="1" t="s">
        <v>2347</v>
      </c>
      <c r="D942" s="1" t="s">
        <v>2311</v>
      </c>
      <c r="E942" s="1" t="s">
        <v>8021</v>
      </c>
      <c r="F942" s="1" t="s">
        <v>17</v>
      </c>
      <c r="G942" s="4" t="str">
        <f>"08204-4650"</f>
        <v>08204-4650</v>
      </c>
      <c r="H942" s="1">
        <v>0</v>
      </c>
      <c r="I942" s="1">
        <v>0</v>
      </c>
      <c r="J942" s="1">
        <v>0</v>
      </c>
      <c r="K942" s="1">
        <v>0</v>
      </c>
      <c r="L942" s="1" t="s">
        <v>434</v>
      </c>
      <c r="M942" s="1" t="s">
        <v>1215</v>
      </c>
      <c r="N942" s="1" t="s">
        <v>13</v>
      </c>
      <c r="O942" s="1" t="s">
        <v>2346</v>
      </c>
    </row>
    <row r="943" spans="1:15" x14ac:dyDescent="0.4">
      <c r="A943" s="1" t="s">
        <v>1556</v>
      </c>
      <c r="B943" s="1" t="s">
        <v>1550</v>
      </c>
      <c r="C943" s="1" t="s">
        <v>1559</v>
      </c>
      <c r="D943" s="1" t="s">
        <v>1551</v>
      </c>
      <c r="E943" s="1" t="s">
        <v>8019</v>
      </c>
      <c r="F943" s="1" t="s">
        <v>17</v>
      </c>
      <c r="G943" s="4" t="str">
        <f>"08052"</f>
        <v>08052</v>
      </c>
      <c r="H943" s="1">
        <v>0</v>
      </c>
      <c r="I943" s="1">
        <v>0</v>
      </c>
      <c r="J943" s="1">
        <v>0</v>
      </c>
      <c r="K943" s="1">
        <v>0</v>
      </c>
      <c r="L943" s="1" t="s">
        <v>1086</v>
      </c>
      <c r="M943" s="1" t="s">
        <v>1557</v>
      </c>
      <c r="N943" s="1" t="s">
        <v>13</v>
      </c>
      <c r="O943" s="1" t="s">
        <v>1558</v>
      </c>
    </row>
    <row r="944" spans="1:15" x14ac:dyDescent="0.4">
      <c r="A944" s="1" t="s">
        <v>5089</v>
      </c>
      <c r="B944" s="1" t="s">
        <v>5044</v>
      </c>
      <c r="C944" s="1" t="s">
        <v>5093</v>
      </c>
      <c r="D944" s="1" t="s">
        <v>4728</v>
      </c>
      <c r="E944" s="1" t="s">
        <v>4704</v>
      </c>
      <c r="F944" s="1" t="s">
        <v>17</v>
      </c>
      <c r="G944" s="4" t="str">
        <f>"07095"</f>
        <v>07095</v>
      </c>
      <c r="H944" s="1">
        <v>0</v>
      </c>
      <c r="I944" s="1">
        <v>0</v>
      </c>
      <c r="J944" s="1">
        <v>0</v>
      </c>
      <c r="K944" s="1">
        <v>41</v>
      </c>
      <c r="L944" s="1" t="s">
        <v>5090</v>
      </c>
      <c r="M944" s="1" t="s">
        <v>5091</v>
      </c>
      <c r="N944" s="1" t="s">
        <v>13</v>
      </c>
      <c r="O944" s="1" t="s">
        <v>5092</v>
      </c>
    </row>
    <row r="945" spans="1:15" x14ac:dyDescent="0.4">
      <c r="A945" s="1" t="s">
        <v>7670</v>
      </c>
      <c r="B945" s="1" t="s">
        <v>7630</v>
      </c>
      <c r="C945" s="1" t="s">
        <v>7672</v>
      </c>
      <c r="D945" s="1" t="s">
        <v>2763</v>
      </c>
      <c r="E945" s="1" t="s">
        <v>7833</v>
      </c>
      <c r="F945" s="1" t="s">
        <v>17</v>
      </c>
      <c r="G945" s="4" t="str">
        <f>"07062-1854"</f>
        <v>07062-1854</v>
      </c>
      <c r="H945" s="1">
        <v>0</v>
      </c>
      <c r="I945" s="1">
        <v>0</v>
      </c>
      <c r="J945" s="1">
        <v>0</v>
      </c>
      <c r="K945" s="1">
        <v>0</v>
      </c>
      <c r="L945" s="1" t="s">
        <v>1413</v>
      </c>
      <c r="M945" s="1" t="s">
        <v>1800</v>
      </c>
      <c r="N945" s="1" t="s">
        <v>13</v>
      </c>
      <c r="O945" s="1" t="s">
        <v>7671</v>
      </c>
    </row>
    <row r="946" spans="1:15" x14ac:dyDescent="0.4">
      <c r="A946" s="1" t="s">
        <v>827</v>
      </c>
      <c r="B946" s="1" t="s">
        <v>826</v>
      </c>
      <c r="C946" s="1" t="s">
        <v>830</v>
      </c>
      <c r="D946" s="1" t="s">
        <v>831</v>
      </c>
      <c r="E946" s="1" t="s">
        <v>8018</v>
      </c>
      <c r="F946" s="1" t="s">
        <v>17</v>
      </c>
      <c r="G946" s="4" t="str">
        <f>"07607-1969"</f>
        <v>07607-1969</v>
      </c>
      <c r="H946" s="1">
        <v>0</v>
      </c>
      <c r="I946" s="1">
        <v>0</v>
      </c>
      <c r="J946" s="1">
        <v>0</v>
      </c>
      <c r="K946" s="1">
        <v>0</v>
      </c>
      <c r="L946" s="1" t="s">
        <v>158</v>
      </c>
      <c r="M946" s="1" t="s">
        <v>828</v>
      </c>
      <c r="N946" s="1" t="s">
        <v>13</v>
      </c>
      <c r="O946" s="1" t="s">
        <v>829</v>
      </c>
    </row>
    <row r="947" spans="1:15" x14ac:dyDescent="0.4">
      <c r="A947" s="1" t="s">
        <v>2637</v>
      </c>
      <c r="B947" s="1" t="s">
        <v>2636</v>
      </c>
      <c r="C947" s="1" t="s">
        <v>2640</v>
      </c>
      <c r="D947" s="1" t="s">
        <v>2641</v>
      </c>
      <c r="E947" s="1" t="s">
        <v>8022</v>
      </c>
      <c r="F947" s="1" t="s">
        <v>17</v>
      </c>
      <c r="G947" s="4" t="str">
        <f>"08610"</f>
        <v>08610</v>
      </c>
      <c r="H947" s="1">
        <v>0</v>
      </c>
      <c r="I947" s="1">
        <v>0</v>
      </c>
      <c r="J947" s="1">
        <v>0</v>
      </c>
      <c r="K947" s="1">
        <v>21</v>
      </c>
      <c r="L947" s="1" t="s">
        <v>611</v>
      </c>
      <c r="M947" s="1" t="s">
        <v>2638</v>
      </c>
      <c r="N947" s="1" t="s">
        <v>129</v>
      </c>
      <c r="O947" s="1" t="s">
        <v>2639</v>
      </c>
    </row>
    <row r="948" spans="1:15" x14ac:dyDescent="0.4">
      <c r="A948" s="1" t="s">
        <v>4289</v>
      </c>
      <c r="B948" s="1" t="s">
        <v>4235</v>
      </c>
      <c r="C948" s="1" t="s">
        <v>4292</v>
      </c>
      <c r="D948" s="1" t="s">
        <v>4239</v>
      </c>
      <c r="E948" s="1" t="s">
        <v>8026</v>
      </c>
      <c r="F948" s="1" t="s">
        <v>17</v>
      </c>
      <c r="G948" s="4" t="str">
        <f>"08610-3205"</f>
        <v>08610-3205</v>
      </c>
      <c r="H948" s="1">
        <v>0</v>
      </c>
      <c r="I948" s="1">
        <v>0</v>
      </c>
      <c r="J948" s="1">
        <v>0</v>
      </c>
      <c r="K948" s="1">
        <v>42</v>
      </c>
      <c r="L948" s="1" t="s">
        <v>403</v>
      </c>
      <c r="M948" s="1" t="s">
        <v>4290</v>
      </c>
      <c r="N948" s="1" t="s">
        <v>13</v>
      </c>
      <c r="O948" s="1" t="s">
        <v>4291</v>
      </c>
    </row>
    <row r="949" spans="1:15" x14ac:dyDescent="0.4">
      <c r="A949" s="1" t="s">
        <v>6466</v>
      </c>
      <c r="B949" s="1" t="s">
        <v>6465</v>
      </c>
      <c r="C949" s="1" t="s">
        <v>6469</v>
      </c>
      <c r="D949" s="1" t="s">
        <v>6470</v>
      </c>
      <c r="E949" s="1" t="s">
        <v>8028</v>
      </c>
      <c r="F949" s="1" t="s">
        <v>17</v>
      </c>
      <c r="G949" s="4" t="str">
        <f>"08050-2807"</f>
        <v>08050-2807</v>
      </c>
      <c r="H949" s="1">
        <v>0</v>
      </c>
      <c r="I949" s="1">
        <v>0</v>
      </c>
      <c r="J949" s="1">
        <v>0</v>
      </c>
      <c r="K949" s="1">
        <v>0</v>
      </c>
      <c r="L949" s="1" t="s">
        <v>1789</v>
      </c>
      <c r="M949" s="1" t="s">
        <v>6467</v>
      </c>
      <c r="N949" s="1" t="s">
        <v>13</v>
      </c>
      <c r="O949" s="1" t="s">
        <v>6468</v>
      </c>
    </row>
    <row r="950" spans="1:15" x14ac:dyDescent="0.4">
      <c r="A950" s="1" t="s">
        <v>4180</v>
      </c>
      <c r="B950" s="1" t="s">
        <v>4178</v>
      </c>
      <c r="C950" s="1" t="s">
        <v>4182</v>
      </c>
      <c r="D950" s="1" t="s">
        <v>4183</v>
      </c>
      <c r="E950" s="1" t="s">
        <v>8026</v>
      </c>
      <c r="F950" s="1" t="s">
        <v>17</v>
      </c>
      <c r="G950" s="4" t="str">
        <f>"08534-1303"</f>
        <v>08534-1303</v>
      </c>
      <c r="H950" s="1">
        <v>0</v>
      </c>
      <c r="I950" s="1">
        <v>0</v>
      </c>
      <c r="J950" s="1">
        <v>0</v>
      </c>
      <c r="K950" s="1">
        <v>0</v>
      </c>
      <c r="L950" s="1" t="s">
        <v>1966</v>
      </c>
      <c r="M950" s="1" t="s">
        <v>55</v>
      </c>
      <c r="N950" s="1" t="s">
        <v>13</v>
      </c>
      <c r="O950" s="1" t="s">
        <v>4181</v>
      </c>
    </row>
    <row r="951" spans="1:15" x14ac:dyDescent="0.4">
      <c r="A951" s="1" t="s">
        <v>4184</v>
      </c>
      <c r="B951" s="1" t="s">
        <v>4178</v>
      </c>
      <c r="C951" s="1" t="s">
        <v>4179</v>
      </c>
      <c r="D951" s="1" t="s">
        <v>2427</v>
      </c>
      <c r="E951" s="1" t="s">
        <v>8026</v>
      </c>
      <c r="F951" s="1" t="s">
        <v>17</v>
      </c>
      <c r="G951" s="4" t="str">
        <f>"08690-1303"</f>
        <v>08690-1303</v>
      </c>
      <c r="H951" s="1">
        <v>0</v>
      </c>
      <c r="I951" s="1">
        <v>0</v>
      </c>
      <c r="J951" s="1">
        <v>0</v>
      </c>
      <c r="K951" s="1">
        <v>0</v>
      </c>
      <c r="L951" s="1" t="s">
        <v>1403</v>
      </c>
      <c r="M951" s="1" t="s">
        <v>4185</v>
      </c>
      <c r="N951" s="1" t="s">
        <v>13</v>
      </c>
      <c r="O951" s="1" t="s">
        <v>4186</v>
      </c>
    </row>
    <row r="952" spans="1:15" x14ac:dyDescent="0.4">
      <c r="A952" s="1" t="s">
        <v>4208</v>
      </c>
      <c r="B952" s="1" t="s">
        <v>4193</v>
      </c>
      <c r="C952" s="1" t="s">
        <v>4211</v>
      </c>
      <c r="D952" s="1" t="s">
        <v>4198</v>
      </c>
      <c r="E952" s="1" t="s">
        <v>8026</v>
      </c>
      <c r="F952" s="1" t="s">
        <v>17</v>
      </c>
      <c r="G952" s="4" t="str">
        <f>"08520"</f>
        <v>08520</v>
      </c>
      <c r="H952" s="1">
        <v>0</v>
      </c>
      <c r="I952" s="1">
        <v>0</v>
      </c>
      <c r="J952" s="1">
        <v>0</v>
      </c>
      <c r="K952" s="1">
        <v>0</v>
      </c>
      <c r="L952" s="1" t="s">
        <v>207</v>
      </c>
      <c r="M952" s="1" t="s">
        <v>4209</v>
      </c>
      <c r="N952" s="1" t="s">
        <v>13</v>
      </c>
      <c r="O952" s="1" t="s">
        <v>4210</v>
      </c>
    </row>
    <row r="953" spans="1:15" x14ac:dyDescent="0.4">
      <c r="A953" s="1" t="s">
        <v>4049</v>
      </c>
      <c r="B953" s="1" t="s">
        <v>4039</v>
      </c>
      <c r="C953" s="1" t="s">
        <v>4052</v>
      </c>
      <c r="D953" s="1" t="s">
        <v>4044</v>
      </c>
      <c r="E953" s="1" t="s">
        <v>3646</v>
      </c>
      <c r="F953" s="1" t="s">
        <v>17</v>
      </c>
      <c r="G953" s="4" t="str">
        <f>"07093-3523"</f>
        <v>07093-3523</v>
      </c>
      <c r="H953" s="1">
        <v>0</v>
      </c>
      <c r="I953" s="1">
        <v>0</v>
      </c>
      <c r="J953" s="1">
        <v>0</v>
      </c>
      <c r="K953" s="1">
        <v>0</v>
      </c>
      <c r="L953" s="1" t="s">
        <v>50</v>
      </c>
      <c r="M953" s="1" t="s">
        <v>4050</v>
      </c>
      <c r="N953" s="1" t="s">
        <v>13</v>
      </c>
      <c r="O953" s="1" t="s">
        <v>4051</v>
      </c>
    </row>
    <row r="954" spans="1:15" x14ac:dyDescent="0.4">
      <c r="A954" s="1" t="s">
        <v>5794</v>
      </c>
      <c r="B954" s="1" t="s">
        <v>5792</v>
      </c>
      <c r="C954" s="1" t="s">
        <v>5796</v>
      </c>
      <c r="D954" s="1" t="s">
        <v>5793</v>
      </c>
      <c r="E954" s="1" t="s">
        <v>1503</v>
      </c>
      <c r="F954" s="1" t="s">
        <v>17</v>
      </c>
      <c r="G954" s="4" t="str">
        <f>"07981"</f>
        <v>07981</v>
      </c>
      <c r="H954" s="1">
        <v>0</v>
      </c>
      <c r="I954" s="1">
        <v>0</v>
      </c>
      <c r="J954" s="1">
        <v>0</v>
      </c>
      <c r="K954" s="1">
        <v>0</v>
      </c>
      <c r="L954" s="1" t="s">
        <v>158</v>
      </c>
      <c r="M954" s="1" t="s">
        <v>3285</v>
      </c>
      <c r="N954" s="1" t="s">
        <v>13</v>
      </c>
      <c r="O954" s="1" t="s">
        <v>5795</v>
      </c>
    </row>
    <row r="955" spans="1:15" x14ac:dyDescent="0.4">
      <c r="A955" s="1" t="s">
        <v>759</v>
      </c>
      <c r="B955" s="1" t="s">
        <v>758</v>
      </c>
      <c r="C955" s="1" t="s">
        <v>763</v>
      </c>
      <c r="D955" s="1" t="s">
        <v>764</v>
      </c>
      <c r="E955" s="1" t="s">
        <v>8018</v>
      </c>
      <c r="F955" s="1" t="s">
        <v>17</v>
      </c>
      <c r="G955" s="4" t="str">
        <f>"07643-1756"</f>
        <v>07643-1756</v>
      </c>
      <c r="H955" s="1">
        <v>0</v>
      </c>
      <c r="I955" s="1">
        <v>0</v>
      </c>
      <c r="J955" s="1">
        <v>0</v>
      </c>
      <c r="K955" s="1">
        <v>0</v>
      </c>
      <c r="L955" s="1" t="s">
        <v>760</v>
      </c>
      <c r="M955" s="1" t="s">
        <v>761</v>
      </c>
      <c r="N955" s="1" t="s">
        <v>13</v>
      </c>
      <c r="O955" s="1" t="s">
        <v>762</v>
      </c>
    </row>
    <row r="956" spans="1:15" x14ac:dyDescent="0.4">
      <c r="A956" s="1" t="s">
        <v>513</v>
      </c>
      <c r="B956" s="1" t="s">
        <v>503</v>
      </c>
      <c r="C956" s="1" t="s">
        <v>516</v>
      </c>
      <c r="D956" s="1" t="s">
        <v>508</v>
      </c>
      <c r="E956" s="1" t="s">
        <v>8018</v>
      </c>
      <c r="F956" s="1" t="s">
        <v>17</v>
      </c>
      <c r="G956" s="4" t="str">
        <f>"07407-1622"</f>
        <v>07407-1622</v>
      </c>
      <c r="H956" s="1">
        <v>0</v>
      </c>
      <c r="I956" s="1">
        <v>0</v>
      </c>
      <c r="J956" s="1">
        <v>0</v>
      </c>
      <c r="K956" s="1">
        <v>0</v>
      </c>
      <c r="L956" s="1" t="s">
        <v>71</v>
      </c>
      <c r="M956" s="1" t="s">
        <v>514</v>
      </c>
      <c r="N956" s="1" t="s">
        <v>13</v>
      </c>
      <c r="O956" s="1" t="s">
        <v>515</v>
      </c>
    </row>
    <row r="957" spans="1:15" x14ac:dyDescent="0.4">
      <c r="A957" s="1" t="s">
        <v>513</v>
      </c>
      <c r="B957" s="1" t="s">
        <v>561</v>
      </c>
      <c r="C957" s="1" t="s">
        <v>585</v>
      </c>
      <c r="D957" s="1" t="s">
        <v>567</v>
      </c>
      <c r="E957" s="1" t="s">
        <v>8018</v>
      </c>
      <c r="F957" s="1" t="s">
        <v>17</v>
      </c>
      <c r="G957" s="4" t="str">
        <f>"07410"</f>
        <v>07410</v>
      </c>
      <c r="H957" s="1">
        <v>0</v>
      </c>
      <c r="I957" s="1">
        <v>0</v>
      </c>
      <c r="J957" s="1">
        <v>0</v>
      </c>
      <c r="K957" s="1">
        <v>0</v>
      </c>
      <c r="L957" s="1" t="s">
        <v>327</v>
      </c>
      <c r="M957" s="1" t="s">
        <v>583</v>
      </c>
      <c r="N957" s="1" t="s">
        <v>13</v>
      </c>
      <c r="O957" s="1" t="s">
        <v>584</v>
      </c>
    </row>
    <row r="958" spans="1:15" x14ac:dyDescent="0.4">
      <c r="A958" s="1" t="s">
        <v>513</v>
      </c>
      <c r="B958" s="1" t="s">
        <v>3021</v>
      </c>
      <c r="C958" s="1" t="s">
        <v>3030</v>
      </c>
      <c r="D958" s="1" t="s">
        <v>3027</v>
      </c>
      <c r="E958" s="1" t="s">
        <v>8018</v>
      </c>
      <c r="F958" s="1" t="s">
        <v>17</v>
      </c>
      <c r="G958" s="4" t="str">
        <f>"07009"</f>
        <v>07009</v>
      </c>
      <c r="H958" s="1">
        <v>0</v>
      </c>
      <c r="I958" s="1">
        <v>0</v>
      </c>
      <c r="J958" s="1">
        <v>0</v>
      </c>
      <c r="K958" s="1">
        <v>0</v>
      </c>
      <c r="L958" s="1" t="s">
        <v>842</v>
      </c>
      <c r="M958" s="1" t="s">
        <v>3028</v>
      </c>
      <c r="N958" s="1" t="s">
        <v>13</v>
      </c>
      <c r="O958" s="1" t="s">
        <v>3029</v>
      </c>
    </row>
    <row r="959" spans="1:15" x14ac:dyDescent="0.4">
      <c r="A959" s="1" t="s">
        <v>513</v>
      </c>
      <c r="B959" s="1" t="s">
        <v>5178</v>
      </c>
      <c r="C959" s="1" t="s">
        <v>5183</v>
      </c>
      <c r="D959" s="1" t="s">
        <v>5179</v>
      </c>
      <c r="E959" s="1" t="s">
        <v>8018</v>
      </c>
      <c r="F959" s="1" t="s">
        <v>17</v>
      </c>
      <c r="G959" s="4" t="str">
        <f>"07724-1398"</f>
        <v>07724-1398</v>
      </c>
      <c r="H959" s="1">
        <v>0</v>
      </c>
      <c r="I959" s="1">
        <v>0</v>
      </c>
      <c r="J959" s="1">
        <v>0</v>
      </c>
      <c r="K959" s="1">
        <v>0</v>
      </c>
      <c r="L959" s="1" t="s">
        <v>5180</v>
      </c>
      <c r="M959" s="1" t="s">
        <v>5181</v>
      </c>
      <c r="N959" s="1" t="s">
        <v>13</v>
      </c>
      <c r="O959" s="1" t="s">
        <v>5182</v>
      </c>
    </row>
    <row r="960" spans="1:15" x14ac:dyDescent="0.4">
      <c r="A960" s="1" t="s">
        <v>513</v>
      </c>
      <c r="B960" s="1" t="s">
        <v>6438</v>
      </c>
      <c r="C960" s="1" t="s">
        <v>6440</v>
      </c>
      <c r="D960" s="1" t="s">
        <v>6441</v>
      </c>
      <c r="E960" s="1" t="s">
        <v>8018</v>
      </c>
      <c r="F960" s="1" t="s">
        <v>17</v>
      </c>
      <c r="G960" s="4" t="str">
        <f>"08742"</f>
        <v>08742</v>
      </c>
      <c r="H960" s="1">
        <v>0</v>
      </c>
      <c r="I960" s="1">
        <v>0</v>
      </c>
      <c r="J960" s="1">
        <v>0</v>
      </c>
      <c r="K960" s="1">
        <v>0</v>
      </c>
      <c r="L960" s="1" t="s">
        <v>1497</v>
      </c>
      <c r="M960" s="1" t="s">
        <v>2017</v>
      </c>
      <c r="N960" s="1" t="s">
        <v>13</v>
      </c>
      <c r="O960" s="1" t="s">
        <v>6439</v>
      </c>
    </row>
    <row r="961" spans="1:15" x14ac:dyDescent="0.4">
      <c r="A961" s="1" t="s">
        <v>513</v>
      </c>
      <c r="B961" s="1" t="s">
        <v>6942</v>
      </c>
      <c r="C961" s="1" t="s">
        <v>6949</v>
      </c>
      <c r="D961" s="1" t="s">
        <v>6946</v>
      </c>
      <c r="E961" s="1" t="s">
        <v>8018</v>
      </c>
      <c r="F961" s="1" t="s">
        <v>17</v>
      </c>
      <c r="G961" s="4" t="str">
        <f>"07424"</f>
        <v>07424</v>
      </c>
      <c r="H961" s="1">
        <v>0</v>
      </c>
      <c r="I961" s="1">
        <v>0</v>
      </c>
      <c r="J961" s="1">
        <v>0</v>
      </c>
      <c r="K961" s="1">
        <v>0</v>
      </c>
      <c r="L961" s="1" t="s">
        <v>497</v>
      </c>
      <c r="M961" s="1" t="s">
        <v>6947</v>
      </c>
      <c r="N961" s="1" t="s">
        <v>241</v>
      </c>
      <c r="O961" s="1" t="s">
        <v>6948</v>
      </c>
    </row>
    <row r="962" spans="1:15" x14ac:dyDescent="0.4">
      <c r="A962" s="1" t="s">
        <v>517</v>
      </c>
      <c r="B962" s="1" t="s">
        <v>503</v>
      </c>
      <c r="C962" s="1" t="s">
        <v>521</v>
      </c>
      <c r="D962" s="1" t="s">
        <v>508</v>
      </c>
      <c r="E962" s="1" t="s">
        <v>8018</v>
      </c>
      <c r="F962" s="1" t="s">
        <v>17</v>
      </c>
      <c r="G962" s="4" t="str">
        <f>"07407-1622"</f>
        <v>07407-1622</v>
      </c>
      <c r="H962" s="1">
        <v>0</v>
      </c>
      <c r="I962" s="1">
        <v>0</v>
      </c>
      <c r="J962" s="1">
        <v>0</v>
      </c>
      <c r="K962" s="1">
        <v>0</v>
      </c>
      <c r="L962" s="1" t="s">
        <v>518</v>
      </c>
      <c r="M962" s="1" t="s">
        <v>519</v>
      </c>
      <c r="N962" s="1" t="s">
        <v>13</v>
      </c>
      <c r="O962" s="1" t="s">
        <v>520</v>
      </c>
    </row>
    <row r="963" spans="1:15" x14ac:dyDescent="0.4">
      <c r="A963" s="1" t="s">
        <v>5892</v>
      </c>
      <c r="B963" s="1" t="s">
        <v>5890</v>
      </c>
      <c r="C963" s="1" t="s">
        <v>5895</v>
      </c>
      <c r="D963" s="1" t="s">
        <v>5891</v>
      </c>
      <c r="E963" s="1" t="s">
        <v>1503</v>
      </c>
      <c r="F963" s="1" t="s">
        <v>17</v>
      </c>
      <c r="G963" s="4" t="str">
        <f>"07926"</f>
        <v>07926</v>
      </c>
      <c r="H963" s="1">
        <v>0</v>
      </c>
      <c r="I963" s="1">
        <v>0</v>
      </c>
      <c r="J963" s="1">
        <v>0</v>
      </c>
      <c r="K963" s="1">
        <v>0</v>
      </c>
      <c r="L963" s="1" t="s">
        <v>632</v>
      </c>
      <c r="M963" s="1" t="s">
        <v>5893</v>
      </c>
      <c r="N963" s="1" t="s">
        <v>13</v>
      </c>
      <c r="O963" s="1" t="s">
        <v>5894</v>
      </c>
    </row>
    <row r="964" spans="1:15" x14ac:dyDescent="0.4">
      <c r="A964" s="1" t="s">
        <v>4614</v>
      </c>
      <c r="B964" s="1" t="s">
        <v>4570</v>
      </c>
      <c r="C964" s="1" t="s">
        <v>4617</v>
      </c>
      <c r="D964" s="1" t="s">
        <v>4571</v>
      </c>
      <c r="E964" s="1" t="s">
        <v>4704</v>
      </c>
      <c r="F964" s="1" t="s">
        <v>17</v>
      </c>
      <c r="G964" s="4" t="str">
        <f>"08820"</f>
        <v>08820</v>
      </c>
      <c r="H964" s="1">
        <v>0</v>
      </c>
      <c r="I964" s="1">
        <v>0</v>
      </c>
      <c r="J964" s="1">
        <v>0</v>
      </c>
      <c r="K964" s="1">
        <v>113</v>
      </c>
      <c r="L964" s="1" t="s">
        <v>158</v>
      </c>
      <c r="M964" s="1" t="s">
        <v>4615</v>
      </c>
      <c r="N964" s="1" t="s">
        <v>13</v>
      </c>
      <c r="O964" s="1" t="s">
        <v>4616</v>
      </c>
    </row>
    <row r="965" spans="1:15" x14ac:dyDescent="0.4">
      <c r="A965" s="1" t="s">
        <v>5094</v>
      </c>
      <c r="B965" s="1" t="s">
        <v>5044</v>
      </c>
      <c r="C965" s="1" t="s">
        <v>5097</v>
      </c>
      <c r="D965" s="1" t="s">
        <v>4674</v>
      </c>
      <c r="E965" s="1" t="s">
        <v>4704</v>
      </c>
      <c r="F965" s="1" t="s">
        <v>17</v>
      </c>
      <c r="G965" s="4" t="str">
        <f>"08840"</f>
        <v>08840</v>
      </c>
      <c r="H965" s="1">
        <v>0</v>
      </c>
      <c r="I965" s="1">
        <v>0</v>
      </c>
      <c r="J965" s="1">
        <v>0</v>
      </c>
      <c r="K965" s="1">
        <v>44</v>
      </c>
      <c r="L965" s="1" t="s">
        <v>846</v>
      </c>
      <c r="M965" s="1" t="s">
        <v>5095</v>
      </c>
      <c r="N965" s="1" t="s">
        <v>13</v>
      </c>
      <c r="O965" s="1" t="s">
        <v>5096</v>
      </c>
    </row>
    <row r="966" spans="1:15" x14ac:dyDescent="0.4">
      <c r="A966" s="1" t="s">
        <v>4187</v>
      </c>
      <c r="B966" s="1" t="s">
        <v>4178</v>
      </c>
      <c r="C966" s="1" t="s">
        <v>4188</v>
      </c>
      <c r="D966" s="1" t="s">
        <v>4189</v>
      </c>
      <c r="E966" s="1" t="s">
        <v>8026</v>
      </c>
      <c r="F966" s="1" t="s">
        <v>17</v>
      </c>
      <c r="G966" s="4" t="str">
        <f>"08534"</f>
        <v>08534</v>
      </c>
      <c r="H966" s="1">
        <v>0</v>
      </c>
      <c r="I966" s="1">
        <v>0</v>
      </c>
      <c r="J966" s="1">
        <v>0</v>
      </c>
      <c r="K966" s="1">
        <v>0</v>
      </c>
      <c r="L966" s="1" t="s">
        <v>1966</v>
      </c>
      <c r="M966" s="1" t="s">
        <v>55</v>
      </c>
      <c r="N966" s="1" t="s">
        <v>13</v>
      </c>
      <c r="O966" s="1" t="s">
        <v>4181</v>
      </c>
    </row>
    <row r="967" spans="1:15" x14ac:dyDescent="0.4">
      <c r="A967" s="1" t="s">
        <v>4190</v>
      </c>
      <c r="B967" s="1" t="s">
        <v>4178</v>
      </c>
      <c r="C967" s="1" t="s">
        <v>4191</v>
      </c>
      <c r="D967" s="1" t="s">
        <v>2427</v>
      </c>
      <c r="E967" s="1" t="s">
        <v>8026</v>
      </c>
      <c r="F967" s="1" t="s">
        <v>17</v>
      </c>
      <c r="G967" s="4" t="str">
        <f>"08690"</f>
        <v>08690</v>
      </c>
      <c r="H967" s="1">
        <v>0</v>
      </c>
      <c r="I967" s="1">
        <v>0</v>
      </c>
      <c r="J967" s="1">
        <v>0</v>
      </c>
      <c r="K967" s="1">
        <v>0</v>
      </c>
      <c r="L967" s="1" t="s">
        <v>1403</v>
      </c>
      <c r="M967" s="1" t="s">
        <v>4185</v>
      </c>
      <c r="N967" s="1" t="s">
        <v>13</v>
      </c>
      <c r="O967" s="1" t="s">
        <v>4186</v>
      </c>
    </row>
    <row r="968" spans="1:15" x14ac:dyDescent="0.4">
      <c r="A968" s="1" t="s">
        <v>4192</v>
      </c>
      <c r="B968" s="1" t="s">
        <v>4178</v>
      </c>
      <c r="C968" s="1" t="s">
        <v>4188</v>
      </c>
      <c r="D968" s="1" t="s">
        <v>4189</v>
      </c>
      <c r="E968" s="1" t="s">
        <v>8026</v>
      </c>
      <c r="F968" s="1" t="s">
        <v>17</v>
      </c>
      <c r="G968" s="4" t="str">
        <f>"08534"</f>
        <v>08534</v>
      </c>
      <c r="H968" s="1">
        <v>0</v>
      </c>
      <c r="I968" s="1">
        <v>0</v>
      </c>
      <c r="J968" s="1">
        <v>0</v>
      </c>
      <c r="K968" s="1">
        <v>0</v>
      </c>
      <c r="L968" s="1" t="s">
        <v>1966</v>
      </c>
      <c r="M968" s="1" t="s">
        <v>55</v>
      </c>
      <c r="N968" s="1" t="s">
        <v>13</v>
      </c>
      <c r="O968" s="1" t="s">
        <v>4181</v>
      </c>
    </row>
    <row r="969" spans="1:15" x14ac:dyDescent="0.4">
      <c r="A969" s="1" t="s">
        <v>4360</v>
      </c>
      <c r="B969" s="1" t="s">
        <v>4358</v>
      </c>
      <c r="C969" s="1" t="s">
        <v>4363</v>
      </c>
      <c r="D969" s="1" t="s">
        <v>2641</v>
      </c>
      <c r="E969" s="1" t="s">
        <v>8026</v>
      </c>
      <c r="F969" s="1" t="s">
        <v>17</v>
      </c>
      <c r="G969" s="4" t="str">
        <f>"08690"</f>
        <v>08690</v>
      </c>
      <c r="H969" s="1">
        <v>0</v>
      </c>
      <c r="I969" s="1">
        <v>0</v>
      </c>
      <c r="J969" s="1">
        <v>0</v>
      </c>
      <c r="K969" s="1">
        <v>0</v>
      </c>
      <c r="L969" s="1" t="s">
        <v>2137</v>
      </c>
      <c r="M969" s="1" t="s">
        <v>4361</v>
      </c>
      <c r="N969" s="1" t="s">
        <v>13</v>
      </c>
      <c r="O969" s="1" t="s">
        <v>4362</v>
      </c>
    </row>
    <row r="970" spans="1:15" x14ac:dyDescent="0.4">
      <c r="A970" s="1" t="s">
        <v>4364</v>
      </c>
      <c r="B970" s="1" t="s">
        <v>4358</v>
      </c>
      <c r="C970" s="1" t="s">
        <v>4367</v>
      </c>
      <c r="D970" s="1" t="s">
        <v>2641</v>
      </c>
      <c r="E970" s="1" t="s">
        <v>8026</v>
      </c>
      <c r="F970" s="1" t="s">
        <v>17</v>
      </c>
      <c r="G970" s="4" t="str">
        <f>"08690-1230"</f>
        <v>08690-1230</v>
      </c>
      <c r="H970" s="1">
        <v>0</v>
      </c>
      <c r="I970" s="1">
        <v>0</v>
      </c>
      <c r="J970" s="1">
        <v>0</v>
      </c>
      <c r="K970" s="1">
        <v>0</v>
      </c>
      <c r="L970" s="1" t="s">
        <v>50</v>
      </c>
      <c r="M970" s="1" t="s">
        <v>4365</v>
      </c>
      <c r="N970" s="1" t="s">
        <v>13</v>
      </c>
      <c r="O970" s="1" t="s">
        <v>4366</v>
      </c>
    </row>
    <row r="971" spans="1:15" x14ac:dyDescent="0.4">
      <c r="A971" s="1" t="s">
        <v>4293</v>
      </c>
      <c r="B971" s="1" t="s">
        <v>4235</v>
      </c>
      <c r="C971" s="1" t="s">
        <v>4295</v>
      </c>
      <c r="D971" s="1" t="s">
        <v>4239</v>
      </c>
      <c r="E971" s="1" t="s">
        <v>8026</v>
      </c>
      <c r="F971" s="1" t="s">
        <v>17</v>
      </c>
      <c r="G971" s="4" t="str">
        <f>"08619-2202"</f>
        <v>08619-2202</v>
      </c>
      <c r="H971" s="1">
        <v>0</v>
      </c>
      <c r="I971" s="1">
        <v>0</v>
      </c>
      <c r="J971" s="1">
        <v>0</v>
      </c>
      <c r="K971" s="1">
        <v>54</v>
      </c>
      <c r="L971" s="1" t="s">
        <v>434</v>
      </c>
      <c r="M971" s="1" t="s">
        <v>1178</v>
      </c>
      <c r="N971" s="1" t="s">
        <v>13</v>
      </c>
      <c r="O971" s="1" t="s">
        <v>4294</v>
      </c>
    </row>
    <row r="972" spans="1:15" x14ac:dyDescent="0.4">
      <c r="A972" s="1" t="s">
        <v>444</v>
      </c>
      <c r="B972" s="1" t="s">
        <v>432</v>
      </c>
      <c r="C972" s="1" t="s">
        <v>448</v>
      </c>
      <c r="D972" s="1" t="s">
        <v>442</v>
      </c>
      <c r="E972" s="1" t="s">
        <v>8018</v>
      </c>
      <c r="F972" s="1" t="s">
        <v>17</v>
      </c>
      <c r="G972" s="4" t="str">
        <f>"07626"</f>
        <v>07626</v>
      </c>
      <c r="H972" s="1">
        <v>0</v>
      </c>
      <c r="I972" s="1">
        <v>0</v>
      </c>
      <c r="J972" s="1">
        <v>0</v>
      </c>
      <c r="K972" s="1">
        <v>0</v>
      </c>
      <c r="L972" s="1" t="s">
        <v>445</v>
      </c>
      <c r="M972" s="1" t="s">
        <v>446</v>
      </c>
      <c r="N972" s="1" t="s">
        <v>13</v>
      </c>
      <c r="O972" s="1" t="s">
        <v>447</v>
      </c>
    </row>
    <row r="973" spans="1:15" x14ac:dyDescent="0.4">
      <c r="A973" s="1" t="s">
        <v>4680</v>
      </c>
      <c r="B973" s="1" t="s">
        <v>4670</v>
      </c>
      <c r="C973" s="1" t="s">
        <v>4683</v>
      </c>
      <c r="D973" s="1" t="s">
        <v>4674</v>
      </c>
      <c r="E973" s="1" t="s">
        <v>4704</v>
      </c>
      <c r="F973" s="1" t="s">
        <v>17</v>
      </c>
      <c r="G973" s="4" t="str">
        <f>"08840-1104"</f>
        <v>08840-1104</v>
      </c>
      <c r="H973" s="1">
        <v>0</v>
      </c>
      <c r="I973" s="1">
        <v>0</v>
      </c>
      <c r="J973" s="1">
        <v>0</v>
      </c>
      <c r="K973" s="1">
        <v>0</v>
      </c>
      <c r="L973" s="1" t="s">
        <v>685</v>
      </c>
      <c r="M973" s="1" t="s">
        <v>4681</v>
      </c>
      <c r="N973" s="1" t="s">
        <v>13</v>
      </c>
      <c r="O973" s="1" t="s">
        <v>4682</v>
      </c>
    </row>
    <row r="974" spans="1:15" x14ac:dyDescent="0.4">
      <c r="A974" s="1" t="s">
        <v>5271</v>
      </c>
      <c r="B974" s="1" t="s">
        <v>5251</v>
      </c>
      <c r="C974" s="1" t="s">
        <v>5273</v>
      </c>
      <c r="D974" s="1" t="s">
        <v>5257</v>
      </c>
      <c r="E974" s="1" t="s">
        <v>8027</v>
      </c>
      <c r="F974" s="1" t="s">
        <v>17</v>
      </c>
      <c r="G974" s="4" t="str">
        <f>"07730-2343"</f>
        <v>07730-2343</v>
      </c>
      <c r="H974" s="1">
        <v>0</v>
      </c>
      <c r="I974" s="1">
        <v>0</v>
      </c>
      <c r="J974" s="1">
        <v>0</v>
      </c>
      <c r="K974" s="1">
        <v>0</v>
      </c>
      <c r="L974" s="1" t="s">
        <v>309</v>
      </c>
      <c r="M974" s="1" t="s">
        <v>1939</v>
      </c>
      <c r="N974" s="1" t="s">
        <v>13</v>
      </c>
      <c r="O974" s="1" t="s">
        <v>5272</v>
      </c>
    </row>
    <row r="975" spans="1:15" x14ac:dyDescent="0.4">
      <c r="A975" s="1" t="s">
        <v>3937</v>
      </c>
      <c r="B975" s="1" t="s">
        <v>3883</v>
      </c>
      <c r="C975" s="1" t="s">
        <v>3940</v>
      </c>
      <c r="D975" s="1" t="s">
        <v>2605</v>
      </c>
      <c r="E975" s="1" t="s">
        <v>3646</v>
      </c>
      <c r="F975" s="1" t="s">
        <v>17</v>
      </c>
      <c r="G975" s="4" t="str">
        <f>"07302"</f>
        <v>07302</v>
      </c>
      <c r="H975" s="1">
        <v>0</v>
      </c>
      <c r="I975" s="1">
        <v>0</v>
      </c>
      <c r="J975" s="1">
        <v>0</v>
      </c>
      <c r="K975" s="1">
        <v>0</v>
      </c>
      <c r="L975" s="1" t="s">
        <v>657</v>
      </c>
      <c r="M975" s="1" t="s">
        <v>3938</v>
      </c>
      <c r="N975" s="1" t="s">
        <v>13</v>
      </c>
      <c r="O975" s="1" t="s">
        <v>3939</v>
      </c>
    </row>
    <row r="976" spans="1:15" x14ac:dyDescent="0.4">
      <c r="A976" s="1" t="s">
        <v>2354</v>
      </c>
      <c r="B976" s="1" t="s">
        <v>2353</v>
      </c>
      <c r="C976" s="1" t="s">
        <v>2357</v>
      </c>
      <c r="D976" s="1" t="s">
        <v>2320</v>
      </c>
      <c r="E976" s="1" t="s">
        <v>8021</v>
      </c>
      <c r="F976" s="1" t="s">
        <v>17</v>
      </c>
      <c r="G976" s="4" t="str">
        <f>"08210"</f>
        <v>08210</v>
      </c>
      <c r="H976" s="1">
        <v>0</v>
      </c>
      <c r="I976" s="1">
        <v>0</v>
      </c>
      <c r="J976" s="1">
        <v>0</v>
      </c>
      <c r="K976" s="1">
        <v>0</v>
      </c>
      <c r="L976" s="1" t="s">
        <v>2083</v>
      </c>
      <c r="M976" s="1" t="s">
        <v>2355</v>
      </c>
      <c r="N976" s="1" t="s">
        <v>13</v>
      </c>
      <c r="O976" s="1" t="s">
        <v>2356</v>
      </c>
    </row>
    <row r="977" spans="1:15" x14ac:dyDescent="0.4">
      <c r="A977" s="1" t="s">
        <v>2358</v>
      </c>
      <c r="B977" s="1" t="s">
        <v>2353</v>
      </c>
      <c r="C977" s="1" t="s">
        <v>2361</v>
      </c>
      <c r="D977" s="1" t="s">
        <v>2320</v>
      </c>
      <c r="E977" s="1" t="s">
        <v>8021</v>
      </c>
      <c r="F977" s="1" t="s">
        <v>17</v>
      </c>
      <c r="G977" s="4" t="str">
        <f>"08210"</f>
        <v>08210</v>
      </c>
      <c r="H977" s="1">
        <v>0</v>
      </c>
      <c r="I977" s="1">
        <v>0</v>
      </c>
      <c r="J977" s="1">
        <v>0</v>
      </c>
      <c r="K977" s="1">
        <v>0</v>
      </c>
      <c r="L977" s="1" t="s">
        <v>671</v>
      </c>
      <c r="M977" s="1" t="s">
        <v>2359</v>
      </c>
      <c r="N977" s="1" t="s">
        <v>13</v>
      </c>
      <c r="O977" s="1" t="s">
        <v>2360</v>
      </c>
    </row>
    <row r="978" spans="1:15" x14ac:dyDescent="0.4">
      <c r="A978" s="1" t="s">
        <v>2362</v>
      </c>
      <c r="B978" s="1" t="s">
        <v>2353</v>
      </c>
      <c r="C978" s="1" t="s">
        <v>2365</v>
      </c>
      <c r="D978" s="1" t="s">
        <v>2320</v>
      </c>
      <c r="E978" s="1" t="s">
        <v>8021</v>
      </c>
      <c r="F978" s="1" t="s">
        <v>17</v>
      </c>
      <c r="G978" s="4" t="str">
        <f>"08210"</f>
        <v>08210</v>
      </c>
      <c r="H978" s="1">
        <v>0</v>
      </c>
      <c r="I978" s="1">
        <v>0</v>
      </c>
      <c r="J978" s="1">
        <v>0</v>
      </c>
      <c r="K978" s="1">
        <v>0</v>
      </c>
      <c r="L978" s="1" t="s">
        <v>54</v>
      </c>
      <c r="M978" s="1" t="s">
        <v>2363</v>
      </c>
      <c r="N978" s="1" t="s">
        <v>13</v>
      </c>
      <c r="O978" s="1" t="s">
        <v>2364</v>
      </c>
    </row>
    <row r="979" spans="1:15" x14ac:dyDescent="0.4">
      <c r="A979" s="1" t="s">
        <v>2642</v>
      </c>
      <c r="B979" s="1" t="s">
        <v>2642</v>
      </c>
      <c r="C979" s="1" t="s">
        <v>2644</v>
      </c>
      <c r="D979" s="1" t="s">
        <v>2421</v>
      </c>
      <c r="E979" s="1" t="s">
        <v>8022</v>
      </c>
      <c r="F979" s="1" t="s">
        <v>17</v>
      </c>
      <c r="G979" s="4" t="str">
        <f>"08861"</f>
        <v>08861</v>
      </c>
      <c r="H979" s="1">
        <v>0</v>
      </c>
      <c r="I979" s="1">
        <v>0</v>
      </c>
      <c r="J979" s="1">
        <v>0</v>
      </c>
      <c r="K979" s="1">
        <v>84</v>
      </c>
      <c r="L979" s="1" t="s">
        <v>2467</v>
      </c>
      <c r="M979" s="1" t="s">
        <v>2468</v>
      </c>
      <c r="N979" s="1" t="s">
        <v>1924</v>
      </c>
      <c r="O979" s="1" t="s">
        <v>2643</v>
      </c>
    </row>
    <row r="980" spans="1:15" x14ac:dyDescent="0.4">
      <c r="A980" s="1" t="s">
        <v>4685</v>
      </c>
      <c r="B980" s="1" t="s">
        <v>4684</v>
      </c>
      <c r="C980" s="1" t="s">
        <v>4687</v>
      </c>
      <c r="D980" s="1" t="s">
        <v>2416</v>
      </c>
      <c r="E980" s="1" t="s">
        <v>4704</v>
      </c>
      <c r="F980" s="1" t="s">
        <v>17</v>
      </c>
      <c r="G980" s="4" t="str">
        <f>"08846-1489"</f>
        <v>08846-1489</v>
      </c>
      <c r="H980" s="1">
        <v>0</v>
      </c>
      <c r="I980" s="1">
        <v>0</v>
      </c>
      <c r="J980" s="1">
        <v>0</v>
      </c>
      <c r="K980" s="1">
        <v>0</v>
      </c>
      <c r="L980" s="1" t="s">
        <v>42</v>
      </c>
      <c r="M980" s="1" t="s">
        <v>455</v>
      </c>
      <c r="N980" s="1" t="s">
        <v>13</v>
      </c>
      <c r="O980" s="1" t="s">
        <v>4686</v>
      </c>
    </row>
    <row r="981" spans="1:15" x14ac:dyDescent="0.4">
      <c r="A981" s="1" t="s">
        <v>5490</v>
      </c>
      <c r="B981" s="1" t="s">
        <v>5469</v>
      </c>
      <c r="C981" s="1" t="s">
        <v>5493</v>
      </c>
      <c r="D981" s="1" t="s">
        <v>5494</v>
      </c>
      <c r="E981" s="1" t="s">
        <v>8027</v>
      </c>
      <c r="F981" s="1" t="s">
        <v>17</v>
      </c>
      <c r="G981" s="4" t="str">
        <f>"07748-2798"</f>
        <v>07748-2798</v>
      </c>
      <c r="H981" s="1">
        <v>0</v>
      </c>
      <c r="I981" s="1">
        <v>0</v>
      </c>
      <c r="J981" s="1">
        <v>0</v>
      </c>
      <c r="K981" s="1">
        <v>0</v>
      </c>
      <c r="L981" s="1" t="s">
        <v>1408</v>
      </c>
      <c r="M981" s="1" t="s">
        <v>5491</v>
      </c>
      <c r="N981" s="1" t="s">
        <v>13</v>
      </c>
      <c r="O981" s="1" t="s">
        <v>5492</v>
      </c>
    </row>
    <row r="982" spans="1:15" x14ac:dyDescent="0.4">
      <c r="A982" s="1" t="s">
        <v>5495</v>
      </c>
      <c r="B982" s="1" t="s">
        <v>5469</v>
      </c>
      <c r="C982" s="1" t="s">
        <v>5498</v>
      </c>
      <c r="D982" s="1" t="s">
        <v>5494</v>
      </c>
      <c r="E982" s="1" t="s">
        <v>8027</v>
      </c>
      <c r="F982" s="1" t="s">
        <v>17</v>
      </c>
      <c r="G982" s="4" t="str">
        <f>"07748-3199"</f>
        <v>07748-3199</v>
      </c>
      <c r="H982" s="1">
        <v>0</v>
      </c>
      <c r="I982" s="1">
        <v>0</v>
      </c>
      <c r="J982" s="1">
        <v>0</v>
      </c>
      <c r="K982" s="1">
        <v>0</v>
      </c>
      <c r="L982" s="1" t="s">
        <v>40</v>
      </c>
      <c r="M982" s="1" t="s">
        <v>5496</v>
      </c>
      <c r="N982" s="1" t="s">
        <v>13</v>
      </c>
      <c r="O982" s="1" t="s">
        <v>5497</v>
      </c>
    </row>
    <row r="983" spans="1:15" x14ac:dyDescent="0.4">
      <c r="A983" s="1" t="s">
        <v>5499</v>
      </c>
      <c r="B983" s="1" t="s">
        <v>5469</v>
      </c>
      <c r="C983" s="1" t="s">
        <v>5502</v>
      </c>
      <c r="D983" s="1" t="s">
        <v>5494</v>
      </c>
      <c r="E983" s="1" t="s">
        <v>8027</v>
      </c>
      <c r="F983" s="1" t="s">
        <v>17</v>
      </c>
      <c r="G983" s="4" t="str">
        <f>"07748-2085"</f>
        <v>07748-2085</v>
      </c>
      <c r="H983" s="1">
        <v>5</v>
      </c>
      <c r="I983" s="1">
        <v>1.2</v>
      </c>
      <c r="J983" s="1">
        <v>0</v>
      </c>
      <c r="K983" s="1">
        <v>61</v>
      </c>
      <c r="L983" s="1" t="s">
        <v>128</v>
      </c>
      <c r="M983" s="1" t="s">
        <v>5500</v>
      </c>
      <c r="N983" s="1" t="s">
        <v>13</v>
      </c>
      <c r="O983" s="1" t="s">
        <v>5501</v>
      </c>
    </row>
    <row r="984" spans="1:15" x14ac:dyDescent="0.4">
      <c r="A984" s="1" t="s">
        <v>959</v>
      </c>
      <c r="B984" s="1" t="s">
        <v>954</v>
      </c>
      <c r="C984" s="1" t="s">
        <v>962</v>
      </c>
      <c r="D984" s="1" t="s">
        <v>314</v>
      </c>
      <c r="E984" s="1" t="s">
        <v>8018</v>
      </c>
      <c r="F984" s="1" t="s">
        <v>17</v>
      </c>
      <c r="G984" s="4" t="str">
        <f>"07652"</f>
        <v>07652</v>
      </c>
      <c r="H984" s="1">
        <v>0</v>
      </c>
      <c r="I984" s="1">
        <v>0</v>
      </c>
      <c r="J984" s="1">
        <v>0</v>
      </c>
      <c r="K984" s="1">
        <v>41</v>
      </c>
      <c r="L984" s="1" t="s">
        <v>40</v>
      </c>
      <c r="M984" s="1" t="s">
        <v>960</v>
      </c>
      <c r="N984" s="1" t="s">
        <v>13</v>
      </c>
      <c r="O984" s="1" t="s">
        <v>961</v>
      </c>
    </row>
    <row r="985" spans="1:15" x14ac:dyDescent="0.4">
      <c r="A985" s="1" t="s">
        <v>841</v>
      </c>
      <c r="B985" s="1" t="s">
        <v>834</v>
      </c>
      <c r="C985" s="1" t="s">
        <v>845</v>
      </c>
      <c r="D985" s="1" t="s">
        <v>840</v>
      </c>
      <c r="E985" s="1" t="s">
        <v>8018</v>
      </c>
      <c r="F985" s="1" t="s">
        <v>17</v>
      </c>
      <c r="G985" s="4" t="str">
        <f>"07432"</f>
        <v>07432</v>
      </c>
      <c r="H985" s="1">
        <v>0</v>
      </c>
      <c r="I985" s="1">
        <v>0</v>
      </c>
      <c r="J985" s="1">
        <v>0</v>
      </c>
      <c r="K985" s="1">
        <v>0</v>
      </c>
      <c r="L985" s="1" t="s">
        <v>842</v>
      </c>
      <c r="M985" s="1" t="s">
        <v>843</v>
      </c>
      <c r="N985" s="1" t="s">
        <v>13</v>
      </c>
      <c r="O985" s="1" t="s">
        <v>844</v>
      </c>
    </row>
    <row r="986" spans="1:15" x14ac:dyDescent="0.4">
      <c r="A986" s="1" t="s">
        <v>6267</v>
      </c>
      <c r="B986" s="1" t="s">
        <v>6241</v>
      </c>
      <c r="C986" s="1" t="s">
        <v>6270</v>
      </c>
      <c r="D986" s="1" t="s">
        <v>6246</v>
      </c>
      <c r="E986" s="1" t="s">
        <v>8028</v>
      </c>
      <c r="F986" s="1" t="s">
        <v>17</v>
      </c>
      <c r="G986" s="4" t="str">
        <f>"08724-3816"</f>
        <v>08724-3816</v>
      </c>
      <c r="H986" s="1">
        <v>0</v>
      </c>
      <c r="I986" s="1">
        <v>0</v>
      </c>
      <c r="J986" s="1">
        <v>0</v>
      </c>
      <c r="K986" s="1">
        <v>104</v>
      </c>
      <c r="L986" s="1" t="s">
        <v>434</v>
      </c>
      <c r="M986" s="1" t="s">
        <v>6268</v>
      </c>
      <c r="N986" s="1" t="s">
        <v>13</v>
      </c>
      <c r="O986" s="1" t="s">
        <v>6269</v>
      </c>
    </row>
    <row r="987" spans="1:15" x14ac:dyDescent="0.4">
      <c r="A987" s="1" t="s">
        <v>5403</v>
      </c>
      <c r="B987" s="1" t="s">
        <v>5389</v>
      </c>
      <c r="C987" s="1" t="s">
        <v>5406</v>
      </c>
      <c r="D987" s="1" t="s">
        <v>5398</v>
      </c>
      <c r="E987" s="1" t="s">
        <v>8027</v>
      </c>
      <c r="F987" s="1" t="s">
        <v>17</v>
      </c>
      <c r="G987" s="4" t="str">
        <f>"07726-1599"</f>
        <v>07726-1599</v>
      </c>
      <c r="H987" s="1">
        <v>0</v>
      </c>
      <c r="I987" s="1">
        <v>0</v>
      </c>
      <c r="J987" s="1">
        <v>0</v>
      </c>
      <c r="K987" s="1">
        <v>66</v>
      </c>
      <c r="L987" s="1" t="s">
        <v>197</v>
      </c>
      <c r="M987" s="1" t="s">
        <v>5404</v>
      </c>
      <c r="N987" s="1" t="s">
        <v>13</v>
      </c>
      <c r="O987" s="1" t="s">
        <v>5405</v>
      </c>
    </row>
    <row r="988" spans="1:15" x14ac:dyDescent="0.4">
      <c r="A988" s="1" t="s">
        <v>4744</v>
      </c>
      <c r="B988" s="1" t="s">
        <v>4734</v>
      </c>
      <c r="C988" s="1" t="s">
        <v>4747</v>
      </c>
      <c r="D988" s="1" t="s">
        <v>4740</v>
      </c>
      <c r="E988" s="1" t="s">
        <v>4704</v>
      </c>
      <c r="F988" s="1" t="s">
        <v>17</v>
      </c>
      <c r="G988" s="4" t="str">
        <f>"08831"</f>
        <v>08831</v>
      </c>
      <c r="H988" s="1">
        <v>0</v>
      </c>
      <c r="I988" s="1">
        <v>0</v>
      </c>
      <c r="J988" s="1">
        <v>75</v>
      </c>
      <c r="K988" s="1">
        <v>9</v>
      </c>
      <c r="L988" s="1" t="s">
        <v>2769</v>
      </c>
      <c r="M988" s="1" t="s">
        <v>4745</v>
      </c>
      <c r="N988" s="1" t="s">
        <v>13</v>
      </c>
      <c r="O988" s="1" t="s">
        <v>4746</v>
      </c>
    </row>
    <row r="989" spans="1:15" x14ac:dyDescent="0.4">
      <c r="A989" s="1" t="s">
        <v>1463</v>
      </c>
      <c r="B989" s="1" t="s">
        <v>1449</v>
      </c>
      <c r="C989" s="1" t="s">
        <v>1466</v>
      </c>
      <c r="D989" s="1" t="s">
        <v>1454</v>
      </c>
      <c r="E989" s="1" t="s">
        <v>8019</v>
      </c>
      <c r="F989" s="1" t="s">
        <v>17</v>
      </c>
      <c r="G989" s="4" t="str">
        <f>"08075-9751"</f>
        <v>08075-9751</v>
      </c>
      <c r="H989" s="1">
        <v>0</v>
      </c>
      <c r="I989" s="1">
        <v>0</v>
      </c>
      <c r="J989" s="1">
        <v>0</v>
      </c>
      <c r="K989" s="1">
        <v>203</v>
      </c>
      <c r="L989" s="1" t="s">
        <v>1464</v>
      </c>
      <c r="M989" s="1" t="s">
        <v>591</v>
      </c>
      <c r="N989" s="1" t="s">
        <v>13</v>
      </c>
      <c r="O989" s="1" t="s">
        <v>1465</v>
      </c>
    </row>
    <row r="990" spans="1:15" x14ac:dyDescent="0.4">
      <c r="A990" s="1" t="s">
        <v>3188</v>
      </c>
      <c r="B990" s="1" t="s">
        <v>3176</v>
      </c>
      <c r="C990" s="1" t="s">
        <v>3191</v>
      </c>
      <c r="D990" s="1" t="s">
        <v>3192</v>
      </c>
      <c r="E990" s="1" t="s">
        <v>8024</v>
      </c>
      <c r="F990" s="1" t="s">
        <v>17</v>
      </c>
      <c r="G990" s="4" t="str">
        <f>"07041-1210"</f>
        <v>07041-1210</v>
      </c>
      <c r="H990" s="1">
        <v>0</v>
      </c>
      <c r="I990" s="1">
        <v>0</v>
      </c>
      <c r="J990" s="1">
        <v>0</v>
      </c>
      <c r="K990" s="1">
        <v>0</v>
      </c>
      <c r="L990" s="1" t="s">
        <v>356</v>
      </c>
      <c r="M990" s="1" t="s">
        <v>3189</v>
      </c>
      <c r="N990" s="1" t="s">
        <v>13</v>
      </c>
      <c r="O990" s="1" t="s">
        <v>3190</v>
      </c>
    </row>
    <row r="991" spans="1:15" x14ac:dyDescent="0.4">
      <c r="A991" s="1" t="s">
        <v>3193</v>
      </c>
      <c r="B991" s="1" t="s">
        <v>3176</v>
      </c>
      <c r="C991" s="1" t="s">
        <v>3196</v>
      </c>
      <c r="D991" s="1" t="s">
        <v>3192</v>
      </c>
      <c r="E991" s="1" t="s">
        <v>8024</v>
      </c>
      <c r="F991" s="1" t="s">
        <v>17</v>
      </c>
      <c r="G991" s="4" t="str">
        <f>"07041"</f>
        <v>07041</v>
      </c>
      <c r="H991" s="1">
        <v>0</v>
      </c>
      <c r="I991" s="1">
        <v>0</v>
      </c>
      <c r="J991" s="1">
        <v>0</v>
      </c>
      <c r="K991" s="1">
        <v>0</v>
      </c>
      <c r="L991" s="1" t="s">
        <v>407</v>
      </c>
      <c r="M991" s="1" t="s">
        <v>3194</v>
      </c>
      <c r="N991" s="1" t="s">
        <v>1183</v>
      </c>
      <c r="O991" s="1" t="s">
        <v>3195</v>
      </c>
    </row>
    <row r="992" spans="1:15" x14ac:dyDescent="0.4">
      <c r="A992" s="1" t="s">
        <v>5862</v>
      </c>
      <c r="B992" s="1" t="s">
        <v>5856</v>
      </c>
      <c r="C992" s="1" t="s">
        <v>5864</v>
      </c>
      <c r="D992" s="1" t="s">
        <v>5865</v>
      </c>
      <c r="E992" s="1" t="s">
        <v>1503</v>
      </c>
      <c r="F992" s="1" t="s">
        <v>17</v>
      </c>
      <c r="G992" s="4" t="str">
        <f>"07946-1352"</f>
        <v>07946-1352</v>
      </c>
      <c r="H992" s="1">
        <v>0</v>
      </c>
      <c r="I992" s="1">
        <v>0</v>
      </c>
      <c r="J992" s="1">
        <v>0</v>
      </c>
      <c r="K992" s="1">
        <v>0</v>
      </c>
      <c r="L992" s="1" t="s">
        <v>38</v>
      </c>
      <c r="M992" s="1" t="s">
        <v>4798</v>
      </c>
      <c r="N992" s="1" t="s">
        <v>13</v>
      </c>
      <c r="O992" s="1" t="s">
        <v>5863</v>
      </c>
    </row>
    <row r="993" spans="1:15" x14ac:dyDescent="0.4">
      <c r="A993" s="1" t="s">
        <v>4498</v>
      </c>
      <c r="B993" s="1" t="s">
        <v>4483</v>
      </c>
      <c r="C993" s="1" t="s">
        <v>4502</v>
      </c>
      <c r="D993" s="1" t="s">
        <v>4488</v>
      </c>
      <c r="E993" s="1" t="s">
        <v>8026</v>
      </c>
      <c r="F993" s="1" t="s">
        <v>17</v>
      </c>
      <c r="G993" s="4" t="str">
        <f>"08536"</f>
        <v>08536</v>
      </c>
      <c r="H993" s="1">
        <v>0</v>
      </c>
      <c r="I993" s="1">
        <v>0</v>
      </c>
      <c r="J993" s="1">
        <v>0</v>
      </c>
      <c r="K993" s="1">
        <v>0</v>
      </c>
      <c r="L993" s="1" t="s">
        <v>4499</v>
      </c>
      <c r="M993" s="1" t="s">
        <v>4500</v>
      </c>
      <c r="N993" s="1" t="s">
        <v>13</v>
      </c>
      <c r="O993" s="1" t="s">
        <v>4501</v>
      </c>
    </row>
    <row r="994" spans="1:15" x14ac:dyDescent="0.4">
      <c r="A994" s="1" t="s">
        <v>5526</v>
      </c>
      <c r="B994" s="1" t="s">
        <v>5525</v>
      </c>
      <c r="C994" s="1" t="s">
        <v>5529</v>
      </c>
      <c r="D994" s="1" t="s">
        <v>5530</v>
      </c>
      <c r="E994" s="1" t="s">
        <v>8027</v>
      </c>
      <c r="F994" s="1" t="s">
        <v>17</v>
      </c>
      <c r="G994" s="4" t="str">
        <f>"08510"</f>
        <v>08510</v>
      </c>
      <c r="H994" s="1">
        <v>0</v>
      </c>
      <c r="I994" s="1">
        <v>0</v>
      </c>
      <c r="J994" s="1">
        <v>0</v>
      </c>
      <c r="K994" s="1">
        <v>0</v>
      </c>
      <c r="L994" s="1" t="s">
        <v>2769</v>
      </c>
      <c r="M994" s="1" t="s">
        <v>5527</v>
      </c>
      <c r="N994" s="1" t="s">
        <v>13</v>
      </c>
      <c r="O994" s="1" t="s">
        <v>5528</v>
      </c>
    </row>
    <row r="995" spans="1:15" x14ac:dyDescent="0.4">
      <c r="A995" s="1" t="s">
        <v>5531</v>
      </c>
      <c r="B995" s="1" t="s">
        <v>5525</v>
      </c>
      <c r="C995" s="1" t="s">
        <v>5534</v>
      </c>
      <c r="D995" s="1" t="s">
        <v>5535</v>
      </c>
      <c r="E995" s="1" t="s">
        <v>8027</v>
      </c>
      <c r="F995" s="1" t="s">
        <v>17</v>
      </c>
      <c r="G995" s="4" t="str">
        <f>"08535-8115"</f>
        <v>08535-8115</v>
      </c>
      <c r="H995" s="1">
        <v>0</v>
      </c>
      <c r="I995" s="1">
        <v>0</v>
      </c>
      <c r="J995" s="1">
        <v>0</v>
      </c>
      <c r="K995" s="1">
        <v>0</v>
      </c>
      <c r="L995" s="1" t="s">
        <v>267</v>
      </c>
      <c r="M995" s="1" t="s">
        <v>5532</v>
      </c>
      <c r="N995" s="1" t="s">
        <v>13</v>
      </c>
      <c r="O995" s="1" t="s">
        <v>5533</v>
      </c>
    </row>
    <row r="996" spans="1:15" x14ac:dyDescent="0.4">
      <c r="A996" s="1" t="s">
        <v>2846</v>
      </c>
      <c r="B996" s="1" t="s">
        <v>2834</v>
      </c>
      <c r="C996" s="1" t="s">
        <v>2850</v>
      </c>
      <c r="D996" s="1" t="s">
        <v>2836</v>
      </c>
      <c r="E996" s="1" t="s">
        <v>8023</v>
      </c>
      <c r="F996" s="1" t="s">
        <v>17</v>
      </c>
      <c r="G996" s="4" t="str">
        <f>"08332-2206"</f>
        <v>08332-2206</v>
      </c>
      <c r="H996" s="1">
        <v>0</v>
      </c>
      <c r="I996" s="1">
        <v>0</v>
      </c>
      <c r="J996" s="1">
        <v>0</v>
      </c>
      <c r="K996" s="1">
        <v>0</v>
      </c>
      <c r="L996" s="1" t="s">
        <v>2847</v>
      </c>
      <c r="M996" s="1" t="s">
        <v>2848</v>
      </c>
      <c r="N996" s="1" t="s">
        <v>13</v>
      </c>
      <c r="O996" s="1" t="s">
        <v>2849</v>
      </c>
    </row>
    <row r="997" spans="1:15" x14ac:dyDescent="0.4">
      <c r="A997" s="1" t="s">
        <v>2646</v>
      </c>
      <c r="B997" s="1" t="s">
        <v>2645</v>
      </c>
      <c r="C997" s="1" t="s">
        <v>2454</v>
      </c>
      <c r="D997" s="1" t="s">
        <v>2455</v>
      </c>
      <c r="E997" s="1" t="s">
        <v>8022</v>
      </c>
      <c r="F997" s="1" t="s">
        <v>17</v>
      </c>
      <c r="G997" s="4" t="str">
        <f>"08332"</f>
        <v>08332</v>
      </c>
      <c r="H997" s="1">
        <v>0</v>
      </c>
      <c r="I997" s="1">
        <v>0</v>
      </c>
      <c r="J997" s="1">
        <v>0</v>
      </c>
      <c r="K997" s="1">
        <v>27</v>
      </c>
      <c r="L997" s="1" t="s">
        <v>40</v>
      </c>
      <c r="M997" s="1" t="s">
        <v>2063</v>
      </c>
      <c r="N997" s="1" t="s">
        <v>13</v>
      </c>
      <c r="O997" s="1" t="s">
        <v>2647</v>
      </c>
    </row>
    <row r="998" spans="1:15" x14ac:dyDescent="0.4">
      <c r="A998" s="1" t="s">
        <v>7351</v>
      </c>
      <c r="B998" s="1" t="s">
        <v>7346</v>
      </c>
      <c r="C998" s="1" t="s">
        <v>7354</v>
      </c>
      <c r="D998" s="1" t="s">
        <v>7355</v>
      </c>
      <c r="E998" s="1" t="s">
        <v>8030</v>
      </c>
      <c r="F998" s="1" t="s">
        <v>17</v>
      </c>
      <c r="G998" s="4" t="str">
        <f>"07871"</f>
        <v>07871</v>
      </c>
      <c r="H998" s="1">
        <v>0</v>
      </c>
      <c r="I998" s="1">
        <v>0</v>
      </c>
      <c r="J998" s="1">
        <v>0</v>
      </c>
      <c r="K998" s="1">
        <v>0</v>
      </c>
      <c r="L998" s="1" t="s">
        <v>619</v>
      </c>
      <c r="M998" s="1" t="s">
        <v>7352</v>
      </c>
      <c r="N998" s="1" t="s">
        <v>13</v>
      </c>
      <c r="O998" s="1" t="s">
        <v>7353</v>
      </c>
    </row>
    <row r="999" spans="1:15" x14ac:dyDescent="0.4">
      <c r="A999" s="1" t="s">
        <v>5559</v>
      </c>
      <c r="B999" s="1" t="s">
        <v>5536</v>
      </c>
      <c r="C999" s="1" t="s">
        <v>5562</v>
      </c>
      <c r="D999" s="1" t="s">
        <v>5563</v>
      </c>
      <c r="E999" s="1" t="s">
        <v>8027</v>
      </c>
      <c r="F999" s="1" t="s">
        <v>17</v>
      </c>
      <c r="G999" s="4" t="str">
        <f>"07753-4432"</f>
        <v>07753-4432</v>
      </c>
      <c r="H999" s="1">
        <v>0</v>
      </c>
      <c r="I999" s="1">
        <v>0</v>
      </c>
      <c r="J999" s="1">
        <v>0</v>
      </c>
      <c r="K999" s="1">
        <v>0</v>
      </c>
      <c r="L999" s="1" t="s">
        <v>563</v>
      </c>
      <c r="M999" s="1" t="s">
        <v>5560</v>
      </c>
      <c r="N999" s="1" t="s">
        <v>13</v>
      </c>
      <c r="O999" s="1" t="s">
        <v>5561</v>
      </c>
    </row>
    <row r="1000" spans="1:15" x14ac:dyDescent="0.4">
      <c r="A1000" s="1" t="s">
        <v>5564</v>
      </c>
      <c r="B1000" s="1" t="s">
        <v>5536</v>
      </c>
      <c r="C1000" s="1" t="s">
        <v>5567</v>
      </c>
      <c r="D1000" s="1" t="s">
        <v>5198</v>
      </c>
      <c r="E1000" s="1" t="s">
        <v>8027</v>
      </c>
      <c r="F1000" s="1" t="s">
        <v>17</v>
      </c>
      <c r="G1000" s="4" t="str">
        <f>"07728-4395"</f>
        <v>07728-4395</v>
      </c>
      <c r="H1000" s="1">
        <v>0</v>
      </c>
      <c r="I1000" s="1">
        <v>0</v>
      </c>
      <c r="J1000" s="1">
        <v>0</v>
      </c>
      <c r="K1000" s="1">
        <v>0</v>
      </c>
      <c r="L1000" s="1" t="s">
        <v>2297</v>
      </c>
      <c r="M1000" s="1" t="s">
        <v>5565</v>
      </c>
      <c r="N1000" s="1" t="s">
        <v>13</v>
      </c>
      <c r="O1000" s="1" t="s">
        <v>5566</v>
      </c>
    </row>
    <row r="1001" spans="1:15" x14ac:dyDescent="0.4">
      <c r="A1001" s="1" t="s">
        <v>5568</v>
      </c>
      <c r="B1001" s="1" t="s">
        <v>5536</v>
      </c>
      <c r="C1001" s="1" t="s">
        <v>5572</v>
      </c>
      <c r="D1001" s="1" t="s">
        <v>5257</v>
      </c>
      <c r="E1001" s="1" t="s">
        <v>8027</v>
      </c>
      <c r="F1001" s="1" t="s">
        <v>17</v>
      </c>
      <c r="G1001" s="4" t="str">
        <f>"07730"</f>
        <v>07730</v>
      </c>
      <c r="H1001" s="1">
        <v>0</v>
      </c>
      <c r="I1001" s="1">
        <v>0</v>
      </c>
      <c r="J1001" s="1">
        <v>0</v>
      </c>
      <c r="K1001" s="1">
        <v>0</v>
      </c>
      <c r="L1001" s="1" t="s">
        <v>5569</v>
      </c>
      <c r="M1001" s="1" t="s">
        <v>5570</v>
      </c>
      <c r="N1001" s="1" t="s">
        <v>13</v>
      </c>
      <c r="O1001" s="1" t="s">
        <v>5571</v>
      </c>
    </row>
    <row r="1002" spans="1:15" x14ac:dyDescent="0.4">
      <c r="A1002" s="1" t="s">
        <v>5573</v>
      </c>
      <c r="B1002" s="1" t="s">
        <v>5573</v>
      </c>
      <c r="C1002" s="1" t="s">
        <v>5575</v>
      </c>
      <c r="D1002" s="1" t="s">
        <v>5576</v>
      </c>
      <c r="E1002" s="1" t="s">
        <v>8027</v>
      </c>
      <c r="F1002" s="1" t="s">
        <v>17</v>
      </c>
      <c r="G1002" s="4" t="str">
        <f>"07724-3299"</f>
        <v>07724-3299</v>
      </c>
      <c r="H1002" s="1">
        <v>0</v>
      </c>
      <c r="I1002" s="1">
        <v>0</v>
      </c>
      <c r="J1002" s="1">
        <v>0</v>
      </c>
      <c r="K1002" s="1">
        <v>0</v>
      </c>
      <c r="L1002" s="1" t="s">
        <v>50</v>
      </c>
      <c r="M1002" s="1" t="s">
        <v>3627</v>
      </c>
      <c r="N1002" s="1" t="s">
        <v>129</v>
      </c>
      <c r="O1002" s="1" t="s">
        <v>5574</v>
      </c>
    </row>
    <row r="1003" spans="1:15" x14ac:dyDescent="0.4">
      <c r="A1003" s="1" t="s">
        <v>4748</v>
      </c>
      <c r="B1003" s="1" t="s">
        <v>4734</v>
      </c>
      <c r="C1003" s="1" t="s">
        <v>4750</v>
      </c>
      <c r="D1003" s="1" t="s">
        <v>4630</v>
      </c>
      <c r="E1003" s="1" t="s">
        <v>4704</v>
      </c>
      <c r="F1003" s="1" t="s">
        <v>17</v>
      </c>
      <c r="G1003" s="4" t="str">
        <f>"08831"</f>
        <v>08831</v>
      </c>
      <c r="H1003" s="1">
        <v>0</v>
      </c>
      <c r="I1003" s="1">
        <v>0</v>
      </c>
      <c r="J1003" s="1">
        <v>0</v>
      </c>
      <c r="K1003" s="1">
        <v>0</v>
      </c>
      <c r="L1003" s="1" t="s">
        <v>11</v>
      </c>
      <c r="M1003" s="1" t="s">
        <v>498</v>
      </c>
      <c r="N1003" s="1" t="s">
        <v>13</v>
      </c>
      <c r="O1003" s="1" t="s">
        <v>4749</v>
      </c>
    </row>
    <row r="1004" spans="1:15" x14ac:dyDescent="0.4">
      <c r="A1004" s="1" t="s">
        <v>4751</v>
      </c>
      <c r="B1004" s="1" t="s">
        <v>4734</v>
      </c>
      <c r="C1004" s="1" t="s">
        <v>4753</v>
      </c>
      <c r="D1004" s="1" t="s">
        <v>4630</v>
      </c>
      <c r="E1004" s="1" t="s">
        <v>4704</v>
      </c>
      <c r="F1004" s="1" t="s">
        <v>17</v>
      </c>
      <c r="G1004" s="4" t="str">
        <f>"08831"</f>
        <v>08831</v>
      </c>
      <c r="H1004" s="1">
        <v>0</v>
      </c>
      <c r="I1004" s="1">
        <v>0</v>
      </c>
      <c r="J1004" s="1">
        <v>0</v>
      </c>
      <c r="K1004" s="1">
        <v>0</v>
      </c>
      <c r="L1004" s="1" t="s">
        <v>34</v>
      </c>
      <c r="M1004" s="1" t="s">
        <v>498</v>
      </c>
      <c r="N1004" s="1" t="s">
        <v>13</v>
      </c>
      <c r="O1004" s="1" t="s">
        <v>4752</v>
      </c>
    </row>
    <row r="1005" spans="1:15" x14ac:dyDescent="0.4">
      <c r="A1005" s="1" t="s">
        <v>3233</v>
      </c>
      <c r="B1005" s="1" t="s">
        <v>3202</v>
      </c>
      <c r="C1005" s="1" t="s">
        <v>3236</v>
      </c>
      <c r="D1005" s="1" t="s">
        <v>3219</v>
      </c>
      <c r="E1005" s="1" t="s">
        <v>8024</v>
      </c>
      <c r="F1005" s="1" t="s">
        <v>17</v>
      </c>
      <c r="G1005" s="4" t="str">
        <f>"07042-2908"</f>
        <v>07042-2908</v>
      </c>
      <c r="H1005" s="1">
        <v>0</v>
      </c>
      <c r="I1005" s="1">
        <v>0</v>
      </c>
      <c r="J1005" s="1">
        <v>0</v>
      </c>
      <c r="K1005" s="1">
        <v>0</v>
      </c>
      <c r="L1005" s="1" t="s">
        <v>671</v>
      </c>
      <c r="M1005" s="1" t="s">
        <v>3234</v>
      </c>
      <c r="N1005" s="1" t="s">
        <v>13</v>
      </c>
      <c r="O1005" s="1" t="s">
        <v>3235</v>
      </c>
    </row>
    <row r="1006" spans="1:15" x14ac:dyDescent="0.4">
      <c r="A1006" s="1" t="s">
        <v>7191</v>
      </c>
      <c r="B1006" s="1" t="s">
        <v>7190</v>
      </c>
      <c r="C1006" s="1" t="s">
        <v>7194</v>
      </c>
      <c r="D1006" s="1" t="s">
        <v>7195</v>
      </c>
      <c r="E1006" s="1" t="s">
        <v>2471</v>
      </c>
      <c r="F1006" s="1" t="s">
        <v>17</v>
      </c>
      <c r="G1006" s="4" t="str">
        <f>"08558-1799"</f>
        <v>08558-1799</v>
      </c>
      <c r="H1006" s="1">
        <v>0</v>
      </c>
      <c r="I1006" s="1">
        <v>0</v>
      </c>
      <c r="J1006" s="1">
        <v>0</v>
      </c>
      <c r="K1006" s="1">
        <v>0</v>
      </c>
      <c r="L1006" s="1" t="s">
        <v>714</v>
      </c>
      <c r="M1006" s="1" t="s">
        <v>7192</v>
      </c>
      <c r="N1006" s="1" t="s">
        <v>13</v>
      </c>
      <c r="O1006" s="1" t="s">
        <v>7193</v>
      </c>
    </row>
    <row r="1007" spans="1:15" x14ac:dyDescent="0.4">
      <c r="A1007" s="1" t="s">
        <v>7196</v>
      </c>
      <c r="B1007" s="1" t="s">
        <v>7190</v>
      </c>
      <c r="C1007" s="1" t="s">
        <v>7198</v>
      </c>
      <c r="D1007" s="1" t="s">
        <v>7195</v>
      </c>
      <c r="E1007" s="1" t="s">
        <v>2471</v>
      </c>
      <c r="F1007" s="1" t="s">
        <v>17</v>
      </c>
      <c r="G1007" s="4" t="str">
        <f>"08558"</f>
        <v>08558</v>
      </c>
      <c r="H1007" s="1">
        <v>0</v>
      </c>
      <c r="I1007" s="1">
        <v>0</v>
      </c>
      <c r="J1007" s="1">
        <v>0</v>
      </c>
      <c r="K1007" s="1">
        <v>0</v>
      </c>
      <c r="L1007" s="1" t="s">
        <v>143</v>
      </c>
      <c r="M1007" s="1" t="s">
        <v>1156</v>
      </c>
      <c r="N1007" s="1" t="s">
        <v>13</v>
      </c>
      <c r="O1007" s="1" t="s">
        <v>7197</v>
      </c>
    </row>
    <row r="1008" spans="1:15" x14ac:dyDescent="0.4">
      <c r="A1008" s="1" t="s">
        <v>7199</v>
      </c>
      <c r="B1008" s="1" t="s">
        <v>7190</v>
      </c>
      <c r="C1008" s="1" t="s">
        <v>7201</v>
      </c>
      <c r="D1008" s="1" t="s">
        <v>7195</v>
      </c>
      <c r="E1008" s="1" t="s">
        <v>2471</v>
      </c>
      <c r="F1008" s="1" t="s">
        <v>17</v>
      </c>
      <c r="G1008" s="4" t="str">
        <f>"08558-9401"</f>
        <v>08558-9401</v>
      </c>
      <c r="H1008" s="1">
        <v>0</v>
      </c>
      <c r="I1008" s="1">
        <v>0</v>
      </c>
      <c r="J1008" s="1">
        <v>0</v>
      </c>
      <c r="K1008" s="1">
        <v>0</v>
      </c>
      <c r="L1008" s="1" t="s">
        <v>1408</v>
      </c>
      <c r="M1008" s="1" t="s">
        <v>6662</v>
      </c>
      <c r="N1008" s="1" t="s">
        <v>13</v>
      </c>
      <c r="O1008" s="1" t="s">
        <v>7200</v>
      </c>
    </row>
    <row r="1009" spans="1:15" x14ac:dyDescent="0.4">
      <c r="A1009" s="1" t="s">
        <v>5907</v>
      </c>
      <c r="B1009" s="1" t="s">
        <v>5896</v>
      </c>
      <c r="C1009" s="1" t="s">
        <v>5909</v>
      </c>
      <c r="D1009" s="1" t="s">
        <v>5910</v>
      </c>
      <c r="E1009" s="1" t="s">
        <v>1503</v>
      </c>
      <c r="F1009" s="1" t="s">
        <v>17</v>
      </c>
      <c r="G1009" s="4" t="str">
        <f>"07045-9626"</f>
        <v>07045-9626</v>
      </c>
      <c r="H1009" s="1">
        <v>0</v>
      </c>
      <c r="I1009" s="1">
        <v>0</v>
      </c>
      <c r="J1009" s="1">
        <v>0</v>
      </c>
      <c r="K1009" s="1">
        <v>0</v>
      </c>
      <c r="L1009" s="1" t="s">
        <v>1843</v>
      </c>
      <c r="M1009" s="1" t="s">
        <v>3789</v>
      </c>
      <c r="N1009" s="1" t="s">
        <v>13</v>
      </c>
      <c r="O1009" s="1" t="s">
        <v>5908</v>
      </c>
    </row>
    <row r="1010" spans="1:15" x14ac:dyDescent="0.4">
      <c r="A1010" s="1" t="s">
        <v>1186</v>
      </c>
      <c r="B1010" s="1" t="s">
        <v>1179</v>
      </c>
      <c r="C1010" s="1" t="s">
        <v>855</v>
      </c>
      <c r="D1010" s="1" t="s">
        <v>1190</v>
      </c>
      <c r="E1010" s="1" t="s">
        <v>8018</v>
      </c>
      <c r="F1010" s="1" t="s">
        <v>17</v>
      </c>
      <c r="G1010" s="4" t="str">
        <f>"07074"</f>
        <v>07074</v>
      </c>
      <c r="H1010" s="1">
        <v>0</v>
      </c>
      <c r="I1010" s="1">
        <v>0</v>
      </c>
      <c r="J1010" s="1">
        <v>0</v>
      </c>
      <c r="K1010" s="1">
        <v>2</v>
      </c>
      <c r="L1010" s="1" t="s">
        <v>1187</v>
      </c>
      <c r="M1010" s="1" t="s">
        <v>1188</v>
      </c>
      <c r="N1010" s="1" t="s">
        <v>13</v>
      </c>
      <c r="O1010" s="1" t="s">
        <v>1189</v>
      </c>
    </row>
    <row r="1011" spans="1:15" x14ac:dyDescent="0.4">
      <c r="A1011" s="1" t="s">
        <v>1588</v>
      </c>
      <c r="B1011" s="1" t="s">
        <v>1580</v>
      </c>
      <c r="C1011" s="1" t="s">
        <v>1591</v>
      </c>
      <c r="D1011" s="1" t="s">
        <v>1585</v>
      </c>
      <c r="E1011" s="1" t="s">
        <v>8019</v>
      </c>
      <c r="F1011" s="1" t="s">
        <v>17</v>
      </c>
      <c r="G1011" s="4" t="str">
        <f>"08057-3702"</f>
        <v>08057-3702</v>
      </c>
      <c r="H1011" s="1">
        <v>0</v>
      </c>
      <c r="I1011" s="1">
        <v>0</v>
      </c>
      <c r="J1011" s="1">
        <v>0</v>
      </c>
      <c r="K1011" s="1">
        <v>0</v>
      </c>
      <c r="L1011" s="1" t="s">
        <v>836</v>
      </c>
      <c r="M1011" s="1" t="s">
        <v>1589</v>
      </c>
      <c r="N1011" s="1" t="s">
        <v>13</v>
      </c>
      <c r="O1011" s="1" t="s">
        <v>1590</v>
      </c>
    </row>
    <row r="1012" spans="1:15" x14ac:dyDescent="0.4">
      <c r="A1012" s="1" t="s">
        <v>1592</v>
      </c>
      <c r="B1012" s="1" t="s">
        <v>1580</v>
      </c>
      <c r="C1012" s="1" t="s">
        <v>1595</v>
      </c>
      <c r="D1012" s="1" t="s">
        <v>1585</v>
      </c>
      <c r="E1012" s="1" t="s">
        <v>8019</v>
      </c>
      <c r="F1012" s="1" t="s">
        <v>17</v>
      </c>
      <c r="G1012" s="4" t="str">
        <f>"08057"</f>
        <v>08057</v>
      </c>
      <c r="H1012" s="1">
        <v>0</v>
      </c>
      <c r="I1012" s="1">
        <v>0</v>
      </c>
      <c r="J1012" s="1">
        <v>0</v>
      </c>
      <c r="K1012" s="1">
        <v>0</v>
      </c>
      <c r="L1012" s="1" t="s">
        <v>588</v>
      </c>
      <c r="M1012" s="1" t="s">
        <v>1593</v>
      </c>
      <c r="N1012" s="1" t="s">
        <v>13</v>
      </c>
      <c r="O1012" s="1" t="s">
        <v>1594</v>
      </c>
    </row>
    <row r="1013" spans="1:15" x14ac:dyDescent="0.4">
      <c r="A1013" s="1" t="s">
        <v>4296</v>
      </c>
      <c r="B1013" s="1" t="s">
        <v>4235</v>
      </c>
      <c r="C1013" s="1" t="s">
        <v>4299</v>
      </c>
      <c r="D1013" s="1" t="s">
        <v>4239</v>
      </c>
      <c r="E1013" s="1" t="s">
        <v>8026</v>
      </c>
      <c r="F1013" s="1" t="s">
        <v>17</v>
      </c>
      <c r="G1013" s="4" t="str">
        <f>"08619-1446"</f>
        <v>08619-1446</v>
      </c>
      <c r="H1013" s="1">
        <v>0</v>
      </c>
      <c r="I1013" s="1">
        <v>0</v>
      </c>
      <c r="J1013" s="1">
        <v>0</v>
      </c>
      <c r="K1013" s="1">
        <v>43</v>
      </c>
      <c r="L1013" s="1" t="s">
        <v>158</v>
      </c>
      <c r="M1013" s="1" t="s">
        <v>4297</v>
      </c>
      <c r="N1013" s="1" t="s">
        <v>13</v>
      </c>
      <c r="O1013" s="1" t="s">
        <v>4298</v>
      </c>
    </row>
    <row r="1014" spans="1:15" x14ac:dyDescent="0.4">
      <c r="A1014" s="1" t="s">
        <v>1905</v>
      </c>
      <c r="B1014" s="1" t="s">
        <v>1872</v>
      </c>
      <c r="C1014" s="1" t="s">
        <v>1908</v>
      </c>
      <c r="D1014" s="1" t="s">
        <v>1909</v>
      </c>
      <c r="E1014" s="1" t="s">
        <v>1909</v>
      </c>
      <c r="F1014" s="1" t="s">
        <v>17</v>
      </c>
      <c r="G1014" s="4" t="str">
        <f>"08104"</f>
        <v>08104</v>
      </c>
      <c r="H1014" s="1">
        <v>0</v>
      </c>
      <c r="I1014" s="1">
        <v>0</v>
      </c>
      <c r="J1014" s="1">
        <v>0</v>
      </c>
      <c r="K1014" s="1">
        <v>0</v>
      </c>
      <c r="L1014" s="1" t="s">
        <v>1906</v>
      </c>
      <c r="M1014" s="1" t="s">
        <v>1158</v>
      </c>
      <c r="N1014" s="1" t="s">
        <v>13</v>
      </c>
      <c r="O1014" s="1" t="s">
        <v>1907</v>
      </c>
    </row>
    <row r="1015" spans="1:15" x14ac:dyDescent="0.4">
      <c r="A1015" s="1" t="s">
        <v>5938</v>
      </c>
      <c r="B1015" s="1" t="s">
        <v>5925</v>
      </c>
      <c r="C1015" s="1" t="s">
        <v>5941</v>
      </c>
      <c r="D1015" s="1" t="s">
        <v>5734</v>
      </c>
      <c r="E1015" s="1" t="s">
        <v>1503</v>
      </c>
      <c r="F1015" s="1" t="s">
        <v>17</v>
      </c>
      <c r="G1015" s="4" t="str">
        <f>"07834-2516"</f>
        <v>07834-2516</v>
      </c>
      <c r="H1015" s="1">
        <v>0</v>
      </c>
      <c r="I1015" s="1">
        <v>0</v>
      </c>
      <c r="J1015" s="1">
        <v>0</v>
      </c>
      <c r="K1015" s="1">
        <v>0</v>
      </c>
      <c r="L1015" s="1" t="s">
        <v>236</v>
      </c>
      <c r="M1015" s="1" t="s">
        <v>5939</v>
      </c>
      <c r="N1015" s="1" t="s">
        <v>13</v>
      </c>
      <c r="O1015" s="1" t="s">
        <v>5940</v>
      </c>
    </row>
    <row r="1016" spans="1:15" x14ac:dyDescent="0.4">
      <c r="A1016" s="1" t="s">
        <v>5943</v>
      </c>
      <c r="B1016" s="1" t="s">
        <v>5942</v>
      </c>
      <c r="C1016" s="1" t="s">
        <v>5930</v>
      </c>
      <c r="D1016" s="1" t="s">
        <v>5931</v>
      </c>
      <c r="E1016" s="1" t="s">
        <v>1503</v>
      </c>
      <c r="F1016" s="1" t="s">
        <v>17</v>
      </c>
      <c r="G1016" s="4" t="str">
        <f>"07866-3799"</f>
        <v>07866-3799</v>
      </c>
      <c r="H1016" s="1">
        <v>0</v>
      </c>
      <c r="I1016" s="1">
        <v>0</v>
      </c>
      <c r="J1016" s="1">
        <v>0</v>
      </c>
      <c r="K1016" s="1">
        <v>0</v>
      </c>
      <c r="L1016" s="1" t="s">
        <v>4126</v>
      </c>
      <c r="M1016" s="1" t="s">
        <v>5944</v>
      </c>
      <c r="N1016" s="1" t="s">
        <v>13</v>
      </c>
      <c r="O1016" s="1" t="s">
        <v>5945</v>
      </c>
    </row>
    <row r="1017" spans="1:15" x14ac:dyDescent="0.4">
      <c r="A1017" s="1" t="s">
        <v>5946</v>
      </c>
      <c r="B1017" s="1" t="s">
        <v>5942</v>
      </c>
      <c r="C1017" s="1" t="s">
        <v>5949</v>
      </c>
      <c r="D1017" s="1" t="s">
        <v>5931</v>
      </c>
      <c r="E1017" s="1" t="s">
        <v>1503</v>
      </c>
      <c r="F1017" s="1" t="s">
        <v>17</v>
      </c>
      <c r="G1017" s="4" t="str">
        <f>"07866"</f>
        <v>07866</v>
      </c>
      <c r="H1017" s="1">
        <v>0</v>
      </c>
      <c r="I1017" s="1">
        <v>0</v>
      </c>
      <c r="J1017" s="1">
        <v>0</v>
      </c>
      <c r="K1017" s="1">
        <v>0</v>
      </c>
      <c r="L1017" s="1" t="s">
        <v>42</v>
      </c>
      <c r="M1017" s="1" t="s">
        <v>5947</v>
      </c>
      <c r="N1017" s="1" t="s">
        <v>13</v>
      </c>
      <c r="O1017" s="1" t="s">
        <v>5948</v>
      </c>
    </row>
    <row r="1018" spans="1:15" x14ac:dyDescent="0.4">
      <c r="A1018" s="1" t="s">
        <v>5951</v>
      </c>
      <c r="B1018" s="1" t="s">
        <v>5950</v>
      </c>
      <c r="C1018" s="1" t="s">
        <v>5954</v>
      </c>
      <c r="D1018" s="1" t="s">
        <v>5802</v>
      </c>
      <c r="E1018" s="1" t="s">
        <v>1503</v>
      </c>
      <c r="F1018" s="1" t="s">
        <v>17</v>
      </c>
      <c r="G1018" s="4" t="str">
        <f>"07950-2134"</f>
        <v>07950-2134</v>
      </c>
      <c r="H1018" s="1">
        <v>0</v>
      </c>
      <c r="I1018" s="1">
        <v>0</v>
      </c>
      <c r="J1018" s="1">
        <v>0</v>
      </c>
      <c r="K1018" s="1">
        <v>0</v>
      </c>
      <c r="L1018" s="1" t="s">
        <v>1809</v>
      </c>
      <c r="M1018" s="1" t="s">
        <v>5952</v>
      </c>
      <c r="N1018" s="1" t="s">
        <v>13</v>
      </c>
      <c r="O1018" s="1" t="s">
        <v>5953</v>
      </c>
    </row>
    <row r="1019" spans="1:15" x14ac:dyDescent="0.4">
      <c r="A1019" s="1" t="s">
        <v>5971</v>
      </c>
      <c r="B1019" s="1" t="s">
        <v>5955</v>
      </c>
      <c r="C1019" s="1" t="s">
        <v>5973</v>
      </c>
      <c r="D1019" s="1" t="s">
        <v>2789</v>
      </c>
      <c r="E1019" s="1" t="s">
        <v>1503</v>
      </c>
      <c r="F1019" s="1" t="s">
        <v>17</v>
      </c>
      <c r="G1019" s="4" t="str">
        <f>"07960"</f>
        <v>07960</v>
      </c>
      <c r="H1019" s="1">
        <v>0</v>
      </c>
      <c r="I1019" s="1">
        <v>0</v>
      </c>
      <c r="J1019" s="1">
        <v>0</v>
      </c>
      <c r="K1019" s="1">
        <v>0</v>
      </c>
      <c r="L1019" s="1" t="s">
        <v>236</v>
      </c>
      <c r="M1019" s="1" t="s">
        <v>159</v>
      </c>
      <c r="N1019" s="1" t="s">
        <v>13</v>
      </c>
      <c r="O1019" s="1" t="s">
        <v>5972</v>
      </c>
    </row>
    <row r="1020" spans="1:15" x14ac:dyDescent="0.4">
      <c r="A1020" s="1" t="s">
        <v>5989</v>
      </c>
      <c r="B1020" s="1" t="s">
        <v>5985</v>
      </c>
      <c r="C1020" s="1" t="s">
        <v>5990</v>
      </c>
      <c r="D1020" s="1" t="s">
        <v>5988</v>
      </c>
      <c r="E1020" s="1" t="s">
        <v>1503</v>
      </c>
      <c r="F1020" s="1" t="s">
        <v>17</v>
      </c>
      <c r="G1020" s="4" t="str">
        <f>"07856"</f>
        <v>07856</v>
      </c>
      <c r="H1020" s="1">
        <v>0</v>
      </c>
      <c r="I1020" s="1">
        <v>0</v>
      </c>
      <c r="J1020" s="1">
        <v>0</v>
      </c>
      <c r="K1020" s="1">
        <v>0</v>
      </c>
      <c r="L1020" s="1" t="s">
        <v>62</v>
      </c>
      <c r="M1020" s="1" t="s">
        <v>5986</v>
      </c>
      <c r="N1020" s="1" t="s">
        <v>13</v>
      </c>
      <c r="O1020" s="1" t="s">
        <v>5987</v>
      </c>
    </row>
    <row r="1021" spans="1:15" x14ac:dyDescent="0.4">
      <c r="A1021" s="1" t="s">
        <v>5997</v>
      </c>
      <c r="B1021" s="1" t="s">
        <v>5991</v>
      </c>
      <c r="C1021" s="1" t="s">
        <v>5999</v>
      </c>
      <c r="D1021" s="1" t="s">
        <v>6000</v>
      </c>
      <c r="E1021" s="1" t="s">
        <v>1503</v>
      </c>
      <c r="F1021" s="1" t="s">
        <v>17</v>
      </c>
      <c r="G1021" s="4" t="str">
        <f>"07836"</f>
        <v>07836</v>
      </c>
      <c r="H1021" s="1">
        <v>0</v>
      </c>
      <c r="I1021" s="1">
        <v>0</v>
      </c>
      <c r="J1021" s="1">
        <v>0</v>
      </c>
      <c r="K1021" s="1">
        <v>0</v>
      </c>
      <c r="L1021" s="1" t="s">
        <v>11</v>
      </c>
      <c r="M1021" s="1" t="s">
        <v>1729</v>
      </c>
      <c r="N1021" s="1" t="s">
        <v>13</v>
      </c>
      <c r="O1021" s="1" t="s">
        <v>5998</v>
      </c>
    </row>
    <row r="1022" spans="1:15" x14ac:dyDescent="0.4">
      <c r="A1022" s="1" t="s">
        <v>6001</v>
      </c>
      <c r="B1022" s="1" t="s">
        <v>5991</v>
      </c>
      <c r="C1022" s="1" t="s">
        <v>6004</v>
      </c>
      <c r="D1022" s="1" t="s">
        <v>5996</v>
      </c>
      <c r="E1022" s="1" t="s">
        <v>1503</v>
      </c>
      <c r="F1022" s="1" t="s">
        <v>17</v>
      </c>
      <c r="G1022" s="4" t="str">
        <f>"07828"</f>
        <v>07828</v>
      </c>
      <c r="H1022" s="1">
        <v>0</v>
      </c>
      <c r="I1022" s="1">
        <v>0</v>
      </c>
      <c r="J1022" s="1">
        <v>0</v>
      </c>
      <c r="K1022" s="1">
        <v>0</v>
      </c>
      <c r="L1022" s="1" t="s">
        <v>34</v>
      </c>
      <c r="M1022" s="1" t="s">
        <v>6002</v>
      </c>
      <c r="N1022" s="1" t="s">
        <v>13</v>
      </c>
      <c r="O1022" s="1" t="s">
        <v>6003</v>
      </c>
    </row>
    <row r="1023" spans="1:15" x14ac:dyDescent="0.4">
      <c r="A1023" s="1" t="s">
        <v>2851</v>
      </c>
      <c r="B1023" s="1" t="s">
        <v>2834</v>
      </c>
      <c r="C1023" s="1" t="s">
        <v>2854</v>
      </c>
      <c r="D1023" s="1" t="s">
        <v>2836</v>
      </c>
      <c r="E1023" s="1" t="s">
        <v>8023</v>
      </c>
      <c r="F1023" s="1" t="s">
        <v>17</v>
      </c>
      <c r="G1023" s="4" t="str">
        <f>"08332"</f>
        <v>08332</v>
      </c>
      <c r="H1023" s="1">
        <v>0</v>
      </c>
      <c r="I1023" s="1">
        <v>0</v>
      </c>
      <c r="J1023" s="1">
        <v>0</v>
      </c>
      <c r="K1023" s="1">
        <v>31</v>
      </c>
      <c r="L1023" s="1" t="s">
        <v>153</v>
      </c>
      <c r="M1023" s="1" t="s">
        <v>2852</v>
      </c>
      <c r="N1023" s="1" t="s">
        <v>1183</v>
      </c>
      <c r="O1023" s="1" t="s">
        <v>2853</v>
      </c>
    </row>
    <row r="1024" spans="1:15" x14ac:dyDescent="0.4">
      <c r="A1024" s="1" t="s">
        <v>2851</v>
      </c>
      <c r="B1024" s="1" t="s">
        <v>3144</v>
      </c>
      <c r="C1024" s="1" t="s">
        <v>3167</v>
      </c>
      <c r="D1024" s="1" t="s">
        <v>3145</v>
      </c>
      <c r="E1024" s="1" t="s">
        <v>8023</v>
      </c>
      <c r="F1024" s="1" t="s">
        <v>17</v>
      </c>
      <c r="G1024" s="4" t="str">
        <f>"07039-3117"</f>
        <v>07039-3117</v>
      </c>
      <c r="H1024" s="1">
        <v>0</v>
      </c>
      <c r="I1024" s="1">
        <v>0</v>
      </c>
      <c r="J1024" s="1">
        <v>0</v>
      </c>
      <c r="K1024" s="1">
        <v>31</v>
      </c>
      <c r="L1024" s="1" t="s">
        <v>3164</v>
      </c>
      <c r="M1024" s="1" t="s">
        <v>3165</v>
      </c>
      <c r="N1024" s="1" t="s">
        <v>13</v>
      </c>
      <c r="O1024" s="1" t="s">
        <v>3166</v>
      </c>
    </row>
    <row r="1025" spans="1:15" x14ac:dyDescent="0.4">
      <c r="A1025" s="1" t="s">
        <v>2851</v>
      </c>
      <c r="B1025" s="1" t="s">
        <v>3497</v>
      </c>
      <c r="C1025" s="1" t="s">
        <v>3522</v>
      </c>
      <c r="D1025" s="1" t="s">
        <v>3519</v>
      </c>
      <c r="E1025" s="1" t="s">
        <v>8023</v>
      </c>
      <c r="F1025" s="1" t="s">
        <v>17</v>
      </c>
      <c r="G1025" s="4" t="str">
        <f>"07052"</f>
        <v>07052</v>
      </c>
      <c r="H1025" s="1">
        <v>0</v>
      </c>
      <c r="I1025" s="1">
        <v>0</v>
      </c>
      <c r="J1025" s="1">
        <v>0</v>
      </c>
      <c r="K1025" s="1">
        <v>31</v>
      </c>
      <c r="L1025" s="1" t="s">
        <v>395</v>
      </c>
      <c r="M1025" s="1" t="s">
        <v>370</v>
      </c>
      <c r="N1025" s="1" t="s">
        <v>13</v>
      </c>
      <c r="O1025" s="1" t="s">
        <v>3521</v>
      </c>
    </row>
    <row r="1026" spans="1:15" x14ac:dyDescent="0.4">
      <c r="A1026" s="1" t="s">
        <v>3168</v>
      </c>
      <c r="B1026" s="1" t="s">
        <v>3144</v>
      </c>
      <c r="C1026" s="1" t="s">
        <v>3167</v>
      </c>
      <c r="D1026" s="1" t="s">
        <v>3145</v>
      </c>
      <c r="E1026" s="1" t="s">
        <v>8024</v>
      </c>
      <c r="F1026" s="1" t="s">
        <v>17</v>
      </c>
      <c r="G1026" s="4" t="str">
        <f>"07039-3117"</f>
        <v>07039-3117</v>
      </c>
      <c r="H1026" s="1">
        <v>0</v>
      </c>
      <c r="I1026" s="1">
        <v>0</v>
      </c>
      <c r="J1026" s="1">
        <v>0</v>
      </c>
      <c r="K1026" s="1">
        <v>0</v>
      </c>
      <c r="L1026" s="1" t="s">
        <v>3169</v>
      </c>
      <c r="M1026" s="1" t="s">
        <v>3170</v>
      </c>
      <c r="N1026" s="1" t="s">
        <v>13</v>
      </c>
      <c r="O1026" s="1" t="s">
        <v>3171</v>
      </c>
    </row>
    <row r="1027" spans="1:15" x14ac:dyDescent="0.4">
      <c r="A1027" s="1" t="s">
        <v>6052</v>
      </c>
      <c r="B1027" s="1" t="s">
        <v>6029</v>
      </c>
      <c r="C1027" s="1" t="s">
        <v>6055</v>
      </c>
      <c r="D1027" s="1" t="s">
        <v>6056</v>
      </c>
      <c r="E1027" s="1" t="s">
        <v>1503</v>
      </c>
      <c r="F1027" s="1" t="s">
        <v>17</v>
      </c>
      <c r="G1027" s="4" t="str">
        <f>"07878"</f>
        <v>07878</v>
      </c>
      <c r="H1027" s="1">
        <v>0</v>
      </c>
      <c r="I1027" s="1">
        <v>0</v>
      </c>
      <c r="J1027" s="1">
        <v>0</v>
      </c>
      <c r="K1027" s="1">
        <v>51</v>
      </c>
      <c r="L1027" s="1" t="s">
        <v>2611</v>
      </c>
      <c r="M1027" s="1" t="s">
        <v>6053</v>
      </c>
      <c r="N1027" s="1" t="s">
        <v>13</v>
      </c>
      <c r="O1027" s="1" t="s">
        <v>6054</v>
      </c>
    </row>
    <row r="1028" spans="1:15" x14ac:dyDescent="0.4">
      <c r="A1028" s="1" t="s">
        <v>6022</v>
      </c>
      <c r="B1028" s="1" t="s">
        <v>6017</v>
      </c>
      <c r="C1028" s="1" t="s">
        <v>6025</v>
      </c>
      <c r="D1028" s="1" t="s">
        <v>6021</v>
      </c>
      <c r="E1028" s="1" t="s">
        <v>1503</v>
      </c>
      <c r="F1028" s="1" t="s">
        <v>17</v>
      </c>
      <c r="G1028" s="4" t="str">
        <f>"07046"</f>
        <v>07046</v>
      </c>
      <c r="H1028" s="1">
        <v>0</v>
      </c>
      <c r="I1028" s="1">
        <v>0</v>
      </c>
      <c r="J1028" s="1">
        <v>0</v>
      </c>
      <c r="K1028" s="1">
        <v>0</v>
      </c>
      <c r="L1028" s="1" t="s">
        <v>657</v>
      </c>
      <c r="M1028" s="1" t="s">
        <v>6023</v>
      </c>
      <c r="N1028" s="1" t="s">
        <v>13</v>
      </c>
      <c r="O1028" s="1" t="s">
        <v>6024</v>
      </c>
    </row>
    <row r="1029" spans="1:15" x14ac:dyDescent="0.4">
      <c r="A1029" s="1" t="s">
        <v>7420</v>
      </c>
      <c r="B1029" s="1" t="s">
        <v>7406</v>
      </c>
      <c r="C1029" s="1" t="s">
        <v>7423</v>
      </c>
      <c r="D1029" s="1" t="s">
        <v>7411</v>
      </c>
      <c r="E1029" s="1" t="s">
        <v>7833</v>
      </c>
      <c r="F1029" s="1" t="s">
        <v>17</v>
      </c>
      <c r="G1029" s="4" t="str">
        <f>"07922-1832"</f>
        <v>07922-1832</v>
      </c>
      <c r="H1029" s="1">
        <v>0</v>
      </c>
      <c r="I1029" s="1">
        <v>0</v>
      </c>
      <c r="J1029" s="1">
        <v>0</v>
      </c>
      <c r="K1029" s="1">
        <v>0</v>
      </c>
      <c r="L1029" s="1" t="s">
        <v>1794</v>
      </c>
      <c r="M1029" s="1" t="s">
        <v>7421</v>
      </c>
      <c r="N1029" s="1" t="s">
        <v>13</v>
      </c>
      <c r="O1029" s="1" t="s">
        <v>7422</v>
      </c>
    </row>
    <row r="1030" spans="1:15" x14ac:dyDescent="0.4">
      <c r="A1030" s="1" t="s">
        <v>6005</v>
      </c>
      <c r="B1030" s="1" t="s">
        <v>5991</v>
      </c>
      <c r="C1030" s="1" t="s">
        <v>6008</v>
      </c>
      <c r="D1030" s="1" t="s">
        <v>6000</v>
      </c>
      <c r="E1030" s="1" t="s">
        <v>1503</v>
      </c>
      <c r="F1030" s="1" t="s">
        <v>17</v>
      </c>
      <c r="G1030" s="4" t="str">
        <f>"07836"</f>
        <v>07836</v>
      </c>
      <c r="H1030" s="1">
        <v>0</v>
      </c>
      <c r="I1030" s="1">
        <v>0</v>
      </c>
      <c r="J1030" s="1">
        <v>0</v>
      </c>
      <c r="K1030" s="1">
        <v>74</v>
      </c>
      <c r="L1030" s="1" t="s">
        <v>197</v>
      </c>
      <c r="M1030" s="1" t="s">
        <v>6006</v>
      </c>
      <c r="N1030" s="1" t="s">
        <v>13</v>
      </c>
      <c r="O1030" s="1" t="s">
        <v>6007</v>
      </c>
    </row>
    <row r="1031" spans="1:15" x14ac:dyDescent="0.4">
      <c r="A1031" s="1" t="s">
        <v>5886</v>
      </c>
      <c r="B1031" s="1" t="s">
        <v>5884</v>
      </c>
      <c r="C1031" s="1" t="s">
        <v>5889</v>
      </c>
      <c r="D1031" s="1" t="s">
        <v>5885</v>
      </c>
      <c r="E1031" s="1" t="s">
        <v>1503</v>
      </c>
      <c r="F1031" s="1" t="s">
        <v>17</v>
      </c>
      <c r="G1031" s="4" t="str">
        <f>"07945-1626"</f>
        <v>07945-1626</v>
      </c>
      <c r="H1031" s="1">
        <v>0</v>
      </c>
      <c r="I1031" s="1">
        <v>0</v>
      </c>
      <c r="J1031" s="1">
        <v>0</v>
      </c>
      <c r="K1031" s="1">
        <v>0</v>
      </c>
      <c r="L1031" s="1" t="s">
        <v>630</v>
      </c>
      <c r="M1031" s="1" t="s">
        <v>5887</v>
      </c>
      <c r="N1031" s="1" t="s">
        <v>13</v>
      </c>
      <c r="O1031" s="1" t="s">
        <v>5888</v>
      </c>
    </row>
    <row r="1032" spans="1:15" x14ac:dyDescent="0.4">
      <c r="A1032" s="1" t="s">
        <v>7892</v>
      </c>
      <c r="B1032" s="1" t="s">
        <v>7886</v>
      </c>
      <c r="C1032" s="1" t="s">
        <v>7895</v>
      </c>
      <c r="D1032" s="1" t="s">
        <v>7896</v>
      </c>
      <c r="E1032" s="1" t="s">
        <v>55</v>
      </c>
      <c r="F1032" s="1" t="s">
        <v>17</v>
      </c>
      <c r="G1032" s="4" t="str">
        <f>"07820"</f>
        <v>07820</v>
      </c>
      <c r="H1032" s="1">
        <v>0</v>
      </c>
      <c r="I1032" s="1">
        <v>0</v>
      </c>
      <c r="J1032" s="1">
        <v>0</v>
      </c>
      <c r="K1032" s="1">
        <v>41</v>
      </c>
      <c r="L1032" s="1" t="s">
        <v>197</v>
      </c>
      <c r="M1032" s="1" t="s">
        <v>7893</v>
      </c>
      <c r="N1032" s="1" t="s">
        <v>13</v>
      </c>
      <c r="O1032" s="1" t="s">
        <v>7894</v>
      </c>
    </row>
    <row r="1033" spans="1:15" x14ac:dyDescent="0.4">
      <c r="A1033" s="1" t="s">
        <v>5797</v>
      </c>
      <c r="B1033" s="1" t="s">
        <v>5792</v>
      </c>
      <c r="C1033" s="1" t="s">
        <v>5801</v>
      </c>
      <c r="D1033" s="1" t="s">
        <v>5802</v>
      </c>
      <c r="E1033" s="1" t="s">
        <v>1503</v>
      </c>
      <c r="F1033" s="1" t="s">
        <v>17</v>
      </c>
      <c r="G1033" s="4" t="str">
        <f>"07950"</f>
        <v>07950</v>
      </c>
      <c r="H1033" s="1">
        <v>0</v>
      </c>
      <c r="I1033" s="1">
        <v>0</v>
      </c>
      <c r="J1033" s="1">
        <v>0</v>
      </c>
      <c r="K1033" s="1">
        <v>43</v>
      </c>
      <c r="L1033" s="1" t="s">
        <v>5798</v>
      </c>
      <c r="M1033" s="1" t="s">
        <v>5799</v>
      </c>
      <c r="N1033" s="1" t="s">
        <v>13</v>
      </c>
      <c r="O1033" s="1" t="s">
        <v>5800</v>
      </c>
    </row>
    <row r="1034" spans="1:15" x14ac:dyDescent="0.4">
      <c r="A1034" s="1" t="s">
        <v>6637</v>
      </c>
      <c r="B1034" s="1" t="s">
        <v>6622</v>
      </c>
      <c r="C1034" s="1" t="s">
        <v>6640</v>
      </c>
      <c r="D1034" s="1" t="s">
        <v>2670</v>
      </c>
      <c r="E1034" s="1" t="s">
        <v>2670</v>
      </c>
      <c r="F1034" s="1" t="s">
        <v>17</v>
      </c>
      <c r="G1034" s="4" t="str">
        <f>"07055"</f>
        <v>07055</v>
      </c>
      <c r="H1034" s="1">
        <v>0</v>
      </c>
      <c r="I1034" s="1">
        <v>0</v>
      </c>
      <c r="J1034" s="1">
        <v>0</v>
      </c>
      <c r="K1034" s="1">
        <v>0</v>
      </c>
      <c r="L1034" s="1" t="s">
        <v>1133</v>
      </c>
      <c r="M1034" s="1" t="s">
        <v>6638</v>
      </c>
      <c r="N1034" s="1" t="s">
        <v>13</v>
      </c>
      <c r="O1034" s="1" t="s">
        <v>6639</v>
      </c>
    </row>
    <row r="1035" spans="1:15" x14ac:dyDescent="0.4">
      <c r="A1035" s="1" t="s">
        <v>218</v>
      </c>
      <c r="B1035" s="1" t="s">
        <v>217</v>
      </c>
      <c r="C1035" s="1" t="s">
        <v>222</v>
      </c>
      <c r="D1035" s="1" t="s">
        <v>223</v>
      </c>
      <c r="E1035" s="1" t="s">
        <v>8017</v>
      </c>
      <c r="F1035" s="1" t="s">
        <v>17</v>
      </c>
      <c r="G1035" s="4" t="str">
        <f>"08217-0318"</f>
        <v>08217-0318</v>
      </c>
      <c r="H1035" s="1">
        <v>0</v>
      </c>
      <c r="I1035" s="1">
        <v>0</v>
      </c>
      <c r="J1035" s="1">
        <v>0</v>
      </c>
      <c r="K1035" s="1">
        <v>0</v>
      </c>
      <c r="L1035" s="1" t="s">
        <v>219</v>
      </c>
      <c r="M1035" s="1" t="s">
        <v>220</v>
      </c>
      <c r="N1035" s="1" t="s">
        <v>13</v>
      </c>
      <c r="O1035" s="1" t="s">
        <v>221</v>
      </c>
    </row>
    <row r="1036" spans="1:15" x14ac:dyDescent="0.4">
      <c r="A1036" s="1" t="s">
        <v>311</v>
      </c>
      <c r="B1036" s="1" t="s">
        <v>291</v>
      </c>
      <c r="C1036" s="1" t="s">
        <v>296</v>
      </c>
      <c r="D1036" s="1" t="s">
        <v>297</v>
      </c>
      <c r="E1036" s="1" t="s">
        <v>8018</v>
      </c>
      <c r="F1036" s="1" t="s">
        <v>17</v>
      </c>
      <c r="G1036" s="4" t="str">
        <f>"07652-1831"</f>
        <v>07652-1831</v>
      </c>
      <c r="H1036" s="1">
        <v>1</v>
      </c>
      <c r="I1036" s="1">
        <v>1.8</v>
      </c>
      <c r="J1036" s="1">
        <v>0</v>
      </c>
      <c r="K1036" s="1">
        <v>0</v>
      </c>
      <c r="L1036" s="1" t="s">
        <v>28</v>
      </c>
      <c r="M1036" s="1" t="s">
        <v>312</v>
      </c>
      <c r="N1036" s="1" t="s">
        <v>13</v>
      </c>
      <c r="O1036" s="1" t="s">
        <v>313</v>
      </c>
    </row>
    <row r="1037" spans="1:15" x14ac:dyDescent="0.4">
      <c r="A1037" s="1" t="s">
        <v>7597</v>
      </c>
      <c r="B1037" s="1" t="s">
        <v>7588</v>
      </c>
      <c r="C1037" s="1" t="s">
        <v>7600</v>
      </c>
      <c r="D1037" s="1" t="s">
        <v>7592</v>
      </c>
      <c r="E1037" s="1" t="s">
        <v>7833</v>
      </c>
      <c r="F1037" s="1" t="s">
        <v>17</v>
      </c>
      <c r="G1037" s="4" t="str">
        <f>"07036-5320"</f>
        <v>07036-5320</v>
      </c>
      <c r="H1037" s="1">
        <v>0</v>
      </c>
      <c r="I1037" s="1">
        <v>0</v>
      </c>
      <c r="J1037" s="1">
        <v>0</v>
      </c>
      <c r="K1037" s="1">
        <v>0</v>
      </c>
      <c r="L1037" s="1" t="s">
        <v>39</v>
      </c>
      <c r="M1037" s="1" t="s">
        <v>7598</v>
      </c>
      <c r="N1037" s="1" t="s">
        <v>13</v>
      </c>
      <c r="O1037" s="1" t="s">
        <v>7599</v>
      </c>
    </row>
    <row r="1038" spans="1:15" x14ac:dyDescent="0.4">
      <c r="A1038" s="1" t="s">
        <v>1205</v>
      </c>
      <c r="B1038" s="1" t="s">
        <v>1191</v>
      </c>
      <c r="C1038" s="1" t="s">
        <v>1208</v>
      </c>
      <c r="D1038" s="1" t="s">
        <v>1195</v>
      </c>
      <c r="E1038" s="1" t="s">
        <v>8018</v>
      </c>
      <c r="F1038" s="1" t="s">
        <v>17</v>
      </c>
      <c r="G1038" s="4" t="str">
        <f>"07666"</f>
        <v>07666</v>
      </c>
      <c r="H1038" s="1">
        <v>0</v>
      </c>
      <c r="I1038" s="1">
        <v>0</v>
      </c>
      <c r="J1038" s="1">
        <v>0</v>
      </c>
      <c r="K1038" s="1">
        <v>46</v>
      </c>
      <c r="L1038" s="1" t="s">
        <v>1206</v>
      </c>
      <c r="M1038" s="1" t="s">
        <v>651</v>
      </c>
      <c r="N1038" s="1" t="s">
        <v>13</v>
      </c>
      <c r="O1038" s="1" t="s">
        <v>1207</v>
      </c>
    </row>
    <row r="1039" spans="1:15" x14ac:dyDescent="0.4">
      <c r="A1039" s="1" t="s">
        <v>5503</v>
      </c>
      <c r="B1039" s="1" t="s">
        <v>5469</v>
      </c>
      <c r="C1039" s="1" t="s">
        <v>5506</v>
      </c>
      <c r="D1039" s="1" t="s">
        <v>5282</v>
      </c>
      <c r="E1039" s="1" t="s">
        <v>8027</v>
      </c>
      <c r="F1039" s="1" t="s">
        <v>17</v>
      </c>
      <c r="G1039" s="4" t="str">
        <f>"07716"</f>
        <v>07716</v>
      </c>
      <c r="H1039" s="1">
        <v>0</v>
      </c>
      <c r="I1039" s="1">
        <v>0</v>
      </c>
      <c r="J1039" s="1">
        <v>0</v>
      </c>
      <c r="K1039" s="1">
        <v>35</v>
      </c>
      <c r="L1039" s="1" t="s">
        <v>1380</v>
      </c>
      <c r="M1039" s="1" t="s">
        <v>5504</v>
      </c>
      <c r="N1039" s="1" t="s">
        <v>13</v>
      </c>
      <c r="O1039" s="1" t="s">
        <v>5505</v>
      </c>
    </row>
    <row r="1040" spans="1:15" x14ac:dyDescent="0.4">
      <c r="A1040" s="1" t="s">
        <v>1565</v>
      </c>
      <c r="B1040" s="1" t="s">
        <v>1564</v>
      </c>
      <c r="C1040" s="1" t="s">
        <v>1568</v>
      </c>
      <c r="D1040" s="1" t="s">
        <v>1569</v>
      </c>
      <c r="E1040" s="1" t="s">
        <v>8019</v>
      </c>
      <c r="F1040" s="1" t="s">
        <v>17</v>
      </c>
      <c r="G1040" s="4" t="str">
        <f>"08055"</f>
        <v>08055</v>
      </c>
      <c r="H1040" s="1">
        <v>0</v>
      </c>
      <c r="I1040" s="1">
        <v>0</v>
      </c>
      <c r="J1040" s="1">
        <v>0</v>
      </c>
      <c r="K1040" s="1">
        <v>0</v>
      </c>
      <c r="L1040" s="1" t="s">
        <v>267</v>
      </c>
      <c r="M1040" s="1" t="s">
        <v>1566</v>
      </c>
      <c r="N1040" s="1" t="s">
        <v>129</v>
      </c>
      <c r="O1040" s="1" t="s">
        <v>1567</v>
      </c>
    </row>
    <row r="1041" spans="1:15" x14ac:dyDescent="0.4">
      <c r="A1041" s="1" t="s">
        <v>3645</v>
      </c>
      <c r="B1041" s="1" t="s">
        <v>2833</v>
      </c>
      <c r="C1041" s="1" t="s">
        <v>3648</v>
      </c>
      <c r="D1041" s="1" t="s">
        <v>3644</v>
      </c>
      <c r="E1041" s="1" t="s">
        <v>8020</v>
      </c>
      <c r="F1041" s="1" t="s">
        <v>17</v>
      </c>
      <c r="G1041" s="4" t="str">
        <f>"08027"</f>
        <v>08027</v>
      </c>
      <c r="H1041" s="1">
        <v>0</v>
      </c>
      <c r="I1041" s="1">
        <v>0</v>
      </c>
      <c r="J1041" s="1">
        <v>0</v>
      </c>
      <c r="K1041" s="1">
        <v>0</v>
      </c>
      <c r="L1041" s="1" t="s">
        <v>42</v>
      </c>
      <c r="M1041" s="1" t="s">
        <v>3646</v>
      </c>
      <c r="N1041" s="1" t="s">
        <v>129</v>
      </c>
      <c r="O1041" s="1" t="s">
        <v>3647</v>
      </c>
    </row>
    <row r="1042" spans="1:15" x14ac:dyDescent="0.4">
      <c r="A1042" s="1" t="s">
        <v>6442</v>
      </c>
      <c r="B1042" s="1" t="s">
        <v>6438</v>
      </c>
      <c r="C1042" s="1" t="s">
        <v>6445</v>
      </c>
      <c r="D1042" s="1" t="s">
        <v>6441</v>
      </c>
      <c r="E1042" s="1" t="s">
        <v>8028</v>
      </c>
      <c r="F1042" s="1" t="s">
        <v>17</v>
      </c>
      <c r="G1042" s="4" t="str">
        <f>"08742"</f>
        <v>08742</v>
      </c>
      <c r="H1042" s="1">
        <v>2</v>
      </c>
      <c r="I1042" s="1">
        <v>0.3</v>
      </c>
      <c r="J1042" s="1">
        <v>0</v>
      </c>
      <c r="K1042" s="1">
        <v>111</v>
      </c>
      <c r="L1042" s="1" t="s">
        <v>34</v>
      </c>
      <c r="M1042" s="1" t="s">
        <v>6443</v>
      </c>
      <c r="N1042" s="1" t="s">
        <v>13</v>
      </c>
      <c r="O1042" s="1" t="s">
        <v>6444</v>
      </c>
    </row>
    <row r="1043" spans="1:15" x14ac:dyDescent="0.4">
      <c r="A1043" s="1" t="s">
        <v>5582</v>
      </c>
      <c r="B1043" s="1" t="s">
        <v>5581</v>
      </c>
      <c r="C1043" s="1" t="s">
        <v>5584</v>
      </c>
      <c r="D1043" s="1" t="s">
        <v>5563</v>
      </c>
      <c r="E1043" s="1" t="s">
        <v>8027</v>
      </c>
      <c r="F1043" s="1" t="s">
        <v>17</v>
      </c>
      <c r="G1043" s="4" t="str">
        <f>"07753-4894"</f>
        <v>07753-4894</v>
      </c>
      <c r="H1043" s="1">
        <v>0</v>
      </c>
      <c r="I1043" s="1">
        <v>0</v>
      </c>
      <c r="J1043" s="1">
        <v>0</v>
      </c>
      <c r="K1043" s="1">
        <v>0</v>
      </c>
      <c r="L1043" s="1" t="s">
        <v>40</v>
      </c>
      <c r="M1043" s="1" t="s">
        <v>3362</v>
      </c>
      <c r="N1043" s="1" t="s">
        <v>13</v>
      </c>
      <c r="O1043" s="1" t="s">
        <v>5583</v>
      </c>
    </row>
    <row r="1044" spans="1:15" x14ac:dyDescent="0.4">
      <c r="A1044" s="1" t="s">
        <v>5585</v>
      </c>
      <c r="B1044" s="1" t="s">
        <v>5581</v>
      </c>
      <c r="C1044" s="1" t="s">
        <v>5588</v>
      </c>
      <c r="D1044" s="1" t="s">
        <v>5563</v>
      </c>
      <c r="E1044" s="1" t="s">
        <v>8027</v>
      </c>
      <c r="F1044" s="1" t="s">
        <v>17</v>
      </c>
      <c r="G1044" s="4" t="str">
        <f>"07753-4493"</f>
        <v>07753-4493</v>
      </c>
      <c r="H1044" s="1">
        <v>0</v>
      </c>
      <c r="I1044" s="1">
        <v>0</v>
      </c>
      <c r="J1044" s="1">
        <v>0</v>
      </c>
      <c r="K1044" s="1">
        <v>0</v>
      </c>
      <c r="L1044" s="1" t="s">
        <v>3685</v>
      </c>
      <c r="M1044" s="1" t="s">
        <v>5586</v>
      </c>
      <c r="N1044" s="1" t="s">
        <v>13</v>
      </c>
      <c r="O1044" s="1" t="s">
        <v>5587</v>
      </c>
    </row>
    <row r="1045" spans="1:15" x14ac:dyDescent="0.4">
      <c r="A1045" s="1" t="s">
        <v>1438</v>
      </c>
      <c r="B1045" s="1" t="s">
        <v>1424</v>
      </c>
      <c r="C1045" s="1" t="s">
        <v>1440</v>
      </c>
      <c r="D1045" s="1" t="s">
        <v>1429</v>
      </c>
      <c r="E1045" s="1" t="s">
        <v>8019</v>
      </c>
      <c r="F1045" s="1" t="s">
        <v>17</v>
      </c>
      <c r="G1045" s="4" t="str">
        <f>"08077"</f>
        <v>08077</v>
      </c>
      <c r="H1045" s="1">
        <v>0</v>
      </c>
      <c r="I1045" s="1">
        <v>0</v>
      </c>
      <c r="J1045" s="1">
        <v>0</v>
      </c>
      <c r="K1045" s="1">
        <v>202</v>
      </c>
      <c r="L1045" s="1" t="s">
        <v>662</v>
      </c>
      <c r="M1045" s="1" t="s">
        <v>212</v>
      </c>
      <c r="N1045" s="1" t="s">
        <v>13</v>
      </c>
      <c r="O1045" s="1" t="s">
        <v>1439</v>
      </c>
    </row>
    <row r="1046" spans="1:15" x14ac:dyDescent="0.4">
      <c r="A1046" s="1" t="s">
        <v>4775</v>
      </c>
      <c r="B1046" s="1" t="s">
        <v>4764</v>
      </c>
      <c r="C1046" s="1" t="s">
        <v>4778</v>
      </c>
      <c r="D1046" s="1" t="s">
        <v>4769</v>
      </c>
      <c r="E1046" s="1" t="s">
        <v>4704</v>
      </c>
      <c r="F1046" s="1" t="s">
        <v>17</v>
      </c>
      <c r="G1046" s="4" t="str">
        <f>"08901"</f>
        <v>08901</v>
      </c>
      <c r="H1046" s="1">
        <v>0</v>
      </c>
      <c r="I1046" s="1">
        <v>0</v>
      </c>
      <c r="J1046" s="1">
        <v>0</v>
      </c>
      <c r="K1046" s="1">
        <v>0</v>
      </c>
      <c r="L1046" s="1" t="s">
        <v>997</v>
      </c>
      <c r="M1046" s="1" t="s">
        <v>4776</v>
      </c>
      <c r="N1046" s="1" t="s">
        <v>13</v>
      </c>
      <c r="O1046" s="1" t="s">
        <v>4777</v>
      </c>
    </row>
    <row r="1047" spans="1:15" x14ac:dyDescent="0.4">
      <c r="A1047" s="1" t="s">
        <v>4779</v>
      </c>
      <c r="B1047" s="1" t="s">
        <v>4764</v>
      </c>
      <c r="C1047" s="1" t="s">
        <v>4782</v>
      </c>
      <c r="D1047" s="1" t="s">
        <v>2565</v>
      </c>
      <c r="E1047" s="1" t="s">
        <v>4704</v>
      </c>
      <c r="F1047" s="1" t="s">
        <v>17</v>
      </c>
      <c r="G1047" s="4" t="str">
        <f>"08901-3309"</f>
        <v>08901-3309</v>
      </c>
      <c r="H1047" s="1">
        <v>0</v>
      </c>
      <c r="I1047" s="1">
        <v>0</v>
      </c>
      <c r="J1047" s="1">
        <v>0</v>
      </c>
      <c r="K1047" s="1">
        <v>0</v>
      </c>
      <c r="L1047" s="1" t="s">
        <v>1408</v>
      </c>
      <c r="M1047" s="1" t="s">
        <v>4780</v>
      </c>
      <c r="N1047" s="1" t="s">
        <v>13</v>
      </c>
      <c r="O1047" s="1" t="s">
        <v>4781</v>
      </c>
    </row>
    <row r="1048" spans="1:15" x14ac:dyDescent="0.4">
      <c r="A1048" s="1" t="s">
        <v>4783</v>
      </c>
      <c r="B1048" s="1" t="s">
        <v>4764</v>
      </c>
      <c r="C1048" s="1" t="s">
        <v>4786</v>
      </c>
      <c r="D1048" s="1" t="s">
        <v>2565</v>
      </c>
      <c r="E1048" s="1" t="s">
        <v>4704</v>
      </c>
      <c r="F1048" s="1" t="s">
        <v>17</v>
      </c>
      <c r="G1048" s="4" t="str">
        <f>"08901"</f>
        <v>08901</v>
      </c>
      <c r="H1048" s="1">
        <v>0</v>
      </c>
      <c r="I1048" s="1">
        <v>0</v>
      </c>
      <c r="J1048" s="1">
        <v>0</v>
      </c>
      <c r="K1048" s="1">
        <v>0</v>
      </c>
      <c r="L1048" s="1" t="s">
        <v>2706</v>
      </c>
      <c r="M1048" s="1" t="s">
        <v>4784</v>
      </c>
      <c r="N1048" s="1" t="s">
        <v>13</v>
      </c>
      <c r="O1048" s="1" t="s">
        <v>4785</v>
      </c>
    </row>
    <row r="1049" spans="1:15" x14ac:dyDescent="0.4">
      <c r="A1049" s="1" t="s">
        <v>6424</v>
      </c>
      <c r="B1049" s="1" t="s">
        <v>6418</v>
      </c>
      <c r="C1049" s="1" t="s">
        <v>6426</v>
      </c>
      <c r="D1049" s="1" t="s">
        <v>6423</v>
      </c>
      <c r="E1049" s="1" t="s">
        <v>8028</v>
      </c>
      <c r="F1049" s="1" t="s">
        <v>17</v>
      </c>
      <c r="G1049" s="4" t="str">
        <f>"08533-1316"</f>
        <v>08533-1316</v>
      </c>
      <c r="H1049" s="1">
        <v>0</v>
      </c>
      <c r="I1049" s="1">
        <v>0</v>
      </c>
      <c r="J1049" s="1">
        <v>0</v>
      </c>
      <c r="K1049" s="1">
        <v>0</v>
      </c>
      <c r="L1049" s="1" t="s">
        <v>657</v>
      </c>
      <c r="M1049" s="1" t="s">
        <v>6253</v>
      </c>
      <c r="N1049" s="1" t="s">
        <v>13</v>
      </c>
      <c r="O1049" s="1" t="s">
        <v>6425</v>
      </c>
    </row>
    <row r="1050" spans="1:15" x14ac:dyDescent="0.4">
      <c r="A1050" s="1" t="s">
        <v>2648</v>
      </c>
      <c r="B1050" s="1" t="s">
        <v>2648</v>
      </c>
      <c r="C1050" s="1" t="s">
        <v>2651</v>
      </c>
      <c r="D1050" s="1" t="s">
        <v>2526</v>
      </c>
      <c r="E1050" s="1" t="s">
        <v>8022</v>
      </c>
      <c r="F1050" s="1" t="s">
        <v>17</v>
      </c>
      <c r="G1050" s="4" t="str">
        <f>"07103"</f>
        <v>07103</v>
      </c>
      <c r="H1050" s="1">
        <v>0</v>
      </c>
      <c r="I1050" s="1">
        <v>0</v>
      </c>
      <c r="J1050" s="1">
        <v>0</v>
      </c>
      <c r="K1050" s="1">
        <v>41</v>
      </c>
      <c r="L1050" s="1" t="s">
        <v>1038</v>
      </c>
      <c r="M1050" s="1" t="s">
        <v>2649</v>
      </c>
      <c r="N1050" s="1" t="s">
        <v>13</v>
      </c>
      <c r="O1050" s="1" t="s">
        <v>2650</v>
      </c>
    </row>
    <row r="1051" spans="1:15" x14ac:dyDescent="0.4">
      <c r="A1051" s="1" t="s">
        <v>868</v>
      </c>
      <c r="B1051" s="1" t="s">
        <v>856</v>
      </c>
      <c r="C1051" s="1" t="s">
        <v>872</v>
      </c>
      <c r="D1051" s="1" t="s">
        <v>862</v>
      </c>
      <c r="E1051" s="1" t="s">
        <v>8018</v>
      </c>
      <c r="F1051" s="1" t="s">
        <v>17</v>
      </c>
      <c r="G1051" s="4" t="str">
        <f>"07646"</f>
        <v>07646</v>
      </c>
      <c r="H1051" s="1">
        <v>0</v>
      </c>
      <c r="I1051" s="1">
        <v>0</v>
      </c>
      <c r="J1051" s="1">
        <v>0</v>
      </c>
      <c r="K1051" s="1">
        <v>0</v>
      </c>
      <c r="L1051" s="1" t="s">
        <v>869</v>
      </c>
      <c r="M1051" s="1" t="s">
        <v>870</v>
      </c>
      <c r="N1051" s="1" t="s">
        <v>13</v>
      </c>
      <c r="O1051" s="1" t="s">
        <v>871</v>
      </c>
    </row>
    <row r="1052" spans="1:15" x14ac:dyDescent="0.4">
      <c r="A1052" s="1" t="s">
        <v>5507</v>
      </c>
      <c r="B1052" s="1" t="s">
        <v>5469</v>
      </c>
      <c r="C1052" s="1" t="s">
        <v>5510</v>
      </c>
      <c r="D1052" s="1" t="s">
        <v>5494</v>
      </c>
      <c r="E1052" s="1" t="s">
        <v>8027</v>
      </c>
      <c r="F1052" s="1" t="s">
        <v>17</v>
      </c>
      <c r="G1052" s="4" t="str">
        <f>"07748-2298"</f>
        <v>07748-2298</v>
      </c>
      <c r="H1052" s="1">
        <v>0</v>
      </c>
      <c r="I1052" s="1">
        <v>0</v>
      </c>
      <c r="J1052" s="1">
        <v>0</v>
      </c>
      <c r="K1052" s="1">
        <v>79</v>
      </c>
      <c r="L1052" s="1" t="s">
        <v>380</v>
      </c>
      <c r="M1052" s="1" t="s">
        <v>5508</v>
      </c>
      <c r="N1052" s="1" t="s">
        <v>13</v>
      </c>
      <c r="O1052" s="1" t="s">
        <v>5509</v>
      </c>
    </row>
    <row r="1053" spans="1:15" x14ac:dyDescent="0.4">
      <c r="A1053" s="1" t="s">
        <v>7621</v>
      </c>
      <c r="B1053" s="1" t="s">
        <v>7620</v>
      </c>
      <c r="C1053" s="1" t="s">
        <v>7623</v>
      </c>
      <c r="D1053" s="1" t="s">
        <v>7605</v>
      </c>
      <c r="E1053" s="1" t="s">
        <v>7833</v>
      </c>
      <c r="F1053" s="1" t="s">
        <v>17</v>
      </c>
      <c r="G1053" s="4" t="str">
        <f>"07974-1515"</f>
        <v>07974-1515</v>
      </c>
      <c r="H1053" s="1">
        <v>0</v>
      </c>
      <c r="I1053" s="1">
        <v>0</v>
      </c>
      <c r="J1053" s="1">
        <v>0</v>
      </c>
      <c r="K1053" s="1">
        <v>0</v>
      </c>
      <c r="L1053" s="1" t="s">
        <v>50</v>
      </c>
      <c r="M1053" s="1" t="s">
        <v>1739</v>
      </c>
      <c r="N1053" s="1" t="s">
        <v>13</v>
      </c>
      <c r="O1053" s="1" t="s">
        <v>7622</v>
      </c>
    </row>
    <row r="1054" spans="1:15" x14ac:dyDescent="0.4">
      <c r="A1054" s="1" t="s">
        <v>7624</v>
      </c>
      <c r="B1054" s="1" t="s">
        <v>7620</v>
      </c>
      <c r="C1054" s="1" t="s">
        <v>7625</v>
      </c>
      <c r="D1054" s="1" t="s">
        <v>7605</v>
      </c>
      <c r="E1054" s="1" t="s">
        <v>7833</v>
      </c>
      <c r="F1054" s="1" t="s">
        <v>17</v>
      </c>
      <c r="G1054" s="4" t="str">
        <f>"07974"</f>
        <v>07974</v>
      </c>
      <c r="H1054" s="1">
        <v>0</v>
      </c>
      <c r="I1054" s="1">
        <v>0</v>
      </c>
      <c r="J1054" s="1">
        <v>0</v>
      </c>
      <c r="K1054" s="1">
        <v>0</v>
      </c>
      <c r="L1054" s="1" t="s">
        <v>50</v>
      </c>
      <c r="M1054" s="1" t="s">
        <v>1739</v>
      </c>
      <c r="N1054" s="1" t="s">
        <v>13</v>
      </c>
      <c r="O1054" s="1" t="s">
        <v>7622</v>
      </c>
    </row>
    <row r="1055" spans="1:15" x14ac:dyDescent="0.4">
      <c r="A1055" s="1" t="s">
        <v>6720</v>
      </c>
      <c r="B1055" s="1" t="s">
        <v>6692</v>
      </c>
      <c r="C1055" s="1" t="s">
        <v>6724</v>
      </c>
      <c r="D1055" s="1" t="s">
        <v>2460</v>
      </c>
      <c r="E1055" s="1" t="s">
        <v>2670</v>
      </c>
      <c r="F1055" s="1" t="s">
        <v>17</v>
      </c>
      <c r="G1055" s="4" t="str">
        <f>"07501"</f>
        <v>07501</v>
      </c>
      <c r="H1055" s="1">
        <v>0</v>
      </c>
      <c r="I1055" s="1">
        <v>0</v>
      </c>
      <c r="J1055" s="1">
        <v>0</v>
      </c>
      <c r="K1055" s="1">
        <v>0</v>
      </c>
      <c r="L1055" s="1" t="s">
        <v>6721</v>
      </c>
      <c r="M1055" s="1" t="s">
        <v>6722</v>
      </c>
      <c r="N1055" s="1" t="s">
        <v>13</v>
      </c>
      <c r="O1055" s="1" t="s">
        <v>6723</v>
      </c>
    </row>
    <row r="1056" spans="1:15" x14ac:dyDescent="0.4">
      <c r="A1056" s="1" t="s">
        <v>3312</v>
      </c>
      <c r="B1056" s="1" t="s">
        <v>3249</v>
      </c>
      <c r="C1056" s="1" t="s">
        <v>3316</v>
      </c>
      <c r="D1056" s="1" t="s">
        <v>2153</v>
      </c>
      <c r="E1056" s="1" t="s">
        <v>8024</v>
      </c>
      <c r="F1056" s="1" t="s">
        <v>17</v>
      </c>
      <c r="G1056" s="4" t="str">
        <f>"07106"</f>
        <v>07106</v>
      </c>
      <c r="H1056" s="1">
        <v>0</v>
      </c>
      <c r="I1056" s="1">
        <v>0</v>
      </c>
      <c r="J1056" s="1">
        <v>0</v>
      </c>
      <c r="K1056" s="1">
        <v>0</v>
      </c>
      <c r="L1056" s="1" t="s">
        <v>3313</v>
      </c>
      <c r="M1056" s="1" t="s">
        <v>3314</v>
      </c>
      <c r="N1056" s="1" t="s">
        <v>13</v>
      </c>
      <c r="O1056" s="1" t="s">
        <v>3315</v>
      </c>
    </row>
    <row r="1057" spans="1:15" x14ac:dyDescent="0.4">
      <c r="A1057" s="1" t="s">
        <v>3317</v>
      </c>
      <c r="B1057" s="1" t="s">
        <v>3249</v>
      </c>
      <c r="C1057" s="1" t="s">
        <v>3321</v>
      </c>
      <c r="D1057" s="1" t="s">
        <v>2153</v>
      </c>
      <c r="E1057" s="1" t="s">
        <v>8024</v>
      </c>
      <c r="F1057" s="1" t="s">
        <v>17</v>
      </c>
      <c r="G1057" s="4" t="str">
        <f>"07104"</f>
        <v>07104</v>
      </c>
      <c r="H1057" s="1">
        <v>0</v>
      </c>
      <c r="I1057" s="1">
        <v>0</v>
      </c>
      <c r="J1057" s="1">
        <v>0</v>
      </c>
      <c r="K1057" s="1">
        <v>0</v>
      </c>
      <c r="L1057" s="1" t="s">
        <v>3318</v>
      </c>
      <c r="M1057" s="1" t="s">
        <v>3319</v>
      </c>
      <c r="N1057" s="1" t="s">
        <v>13</v>
      </c>
      <c r="O1057" s="1" t="s">
        <v>3320</v>
      </c>
    </row>
    <row r="1058" spans="1:15" x14ac:dyDescent="0.4">
      <c r="A1058" s="1" t="s">
        <v>3322</v>
      </c>
      <c r="B1058" s="1" t="s">
        <v>3249</v>
      </c>
      <c r="C1058" s="1" t="s">
        <v>3325</v>
      </c>
      <c r="D1058" s="1" t="s">
        <v>2153</v>
      </c>
      <c r="E1058" s="1" t="s">
        <v>8024</v>
      </c>
      <c r="F1058" s="1" t="s">
        <v>17</v>
      </c>
      <c r="G1058" s="4" t="str">
        <f>"07104"</f>
        <v>07104</v>
      </c>
      <c r="H1058" s="1">
        <v>0</v>
      </c>
      <c r="I1058" s="1">
        <v>0</v>
      </c>
      <c r="J1058" s="1">
        <v>0</v>
      </c>
      <c r="K1058" s="1">
        <v>0</v>
      </c>
      <c r="L1058" s="1" t="s">
        <v>3323</v>
      </c>
      <c r="M1058" s="1" t="s">
        <v>622</v>
      </c>
      <c r="N1058" s="1" t="s">
        <v>13</v>
      </c>
      <c r="O1058" s="1" t="s">
        <v>3324</v>
      </c>
    </row>
    <row r="1059" spans="1:15" x14ac:dyDescent="0.4">
      <c r="A1059" s="1" t="s">
        <v>3326</v>
      </c>
      <c r="B1059" s="1" t="s">
        <v>3249</v>
      </c>
      <c r="C1059" s="1" t="s">
        <v>3330</v>
      </c>
      <c r="D1059" s="1" t="s">
        <v>2526</v>
      </c>
      <c r="E1059" s="1" t="s">
        <v>8024</v>
      </c>
      <c r="F1059" s="1" t="s">
        <v>17</v>
      </c>
      <c r="G1059" s="4" t="str">
        <f>"07103-2927"</f>
        <v>07103-2927</v>
      </c>
      <c r="H1059" s="1">
        <v>0</v>
      </c>
      <c r="I1059" s="1">
        <v>0</v>
      </c>
      <c r="J1059" s="1">
        <v>0</v>
      </c>
      <c r="K1059" s="1">
        <v>0</v>
      </c>
      <c r="L1059" s="1" t="s">
        <v>3327</v>
      </c>
      <c r="M1059" s="1" t="s">
        <v>3328</v>
      </c>
      <c r="N1059" s="1" t="s">
        <v>13</v>
      </c>
      <c r="O1059" s="1" t="s">
        <v>3329</v>
      </c>
    </row>
    <row r="1060" spans="1:15" x14ac:dyDescent="0.4">
      <c r="A1060" s="1" t="s">
        <v>6725</v>
      </c>
      <c r="B1060" s="1" t="s">
        <v>6692</v>
      </c>
      <c r="C1060" s="1" t="s">
        <v>6729</v>
      </c>
      <c r="D1060" s="1" t="s">
        <v>1638</v>
      </c>
      <c r="E1060" s="1" t="s">
        <v>2670</v>
      </c>
      <c r="F1060" s="1" t="s">
        <v>17</v>
      </c>
      <c r="G1060" s="4" t="str">
        <f>"07501"</f>
        <v>07501</v>
      </c>
      <c r="H1060" s="1">
        <v>0</v>
      </c>
      <c r="I1060" s="1">
        <v>0</v>
      </c>
      <c r="J1060" s="1">
        <v>0</v>
      </c>
      <c r="K1060" s="1">
        <v>0</v>
      </c>
      <c r="L1060" s="1" t="s">
        <v>6726</v>
      </c>
      <c r="M1060" s="1" t="s">
        <v>6727</v>
      </c>
      <c r="N1060" s="1" t="s">
        <v>13</v>
      </c>
      <c r="O1060" s="1" t="s">
        <v>6728</v>
      </c>
    </row>
    <row r="1061" spans="1:15" x14ac:dyDescent="0.4">
      <c r="A1061" s="1" t="s">
        <v>7341</v>
      </c>
      <c r="B1061" s="1" t="s">
        <v>7337</v>
      </c>
      <c r="C1061" s="1" t="s">
        <v>7345</v>
      </c>
      <c r="D1061" s="1" t="s">
        <v>7287</v>
      </c>
      <c r="E1061" s="1" t="s">
        <v>8030</v>
      </c>
      <c r="F1061" s="1" t="s">
        <v>17</v>
      </c>
      <c r="G1061" s="4" t="str">
        <f>"07860"</f>
        <v>07860</v>
      </c>
      <c r="H1061" s="1">
        <v>0</v>
      </c>
      <c r="I1061" s="1">
        <v>0</v>
      </c>
      <c r="J1061" s="1">
        <v>0</v>
      </c>
      <c r="K1061" s="1">
        <v>0</v>
      </c>
      <c r="L1061" s="1" t="s">
        <v>7342</v>
      </c>
      <c r="M1061" s="1" t="s">
        <v>7343</v>
      </c>
      <c r="N1061" s="1" t="s">
        <v>13</v>
      </c>
      <c r="O1061" s="1" t="s">
        <v>7344</v>
      </c>
    </row>
    <row r="1062" spans="1:15" x14ac:dyDescent="0.4">
      <c r="A1062" s="1" t="s">
        <v>7520</v>
      </c>
      <c r="B1062" s="1" t="s">
        <v>7477</v>
      </c>
      <c r="C1062" s="1" t="s">
        <v>7523</v>
      </c>
      <c r="D1062" s="1" t="s">
        <v>3890</v>
      </c>
      <c r="E1062" s="1" t="s">
        <v>7833</v>
      </c>
      <c r="F1062" s="1" t="s">
        <v>17</v>
      </c>
      <c r="G1062" s="4" t="str">
        <f>"07208-2126"</f>
        <v>07208-2126</v>
      </c>
      <c r="H1062" s="1">
        <v>0</v>
      </c>
      <c r="I1062" s="1">
        <v>0</v>
      </c>
      <c r="J1062" s="1">
        <v>0</v>
      </c>
      <c r="K1062" s="1">
        <v>93</v>
      </c>
      <c r="L1062" s="1" t="s">
        <v>7521</v>
      </c>
      <c r="M1062" s="1" t="s">
        <v>2213</v>
      </c>
      <c r="N1062" s="1" t="s">
        <v>13</v>
      </c>
      <c r="O1062" s="1" t="s">
        <v>7522</v>
      </c>
    </row>
    <row r="1063" spans="1:15" x14ac:dyDescent="0.4">
      <c r="A1063" s="1" t="s">
        <v>7524</v>
      </c>
      <c r="B1063" s="1" t="s">
        <v>7477</v>
      </c>
      <c r="C1063" s="1" t="s">
        <v>7527</v>
      </c>
      <c r="D1063" s="1" t="s">
        <v>3890</v>
      </c>
      <c r="E1063" s="1" t="s">
        <v>7833</v>
      </c>
      <c r="F1063" s="1" t="s">
        <v>17</v>
      </c>
      <c r="G1063" s="4" t="str">
        <f>"07202-3823"</f>
        <v>07202-3823</v>
      </c>
      <c r="H1063" s="1">
        <v>0</v>
      </c>
      <c r="I1063" s="1">
        <v>0</v>
      </c>
      <c r="J1063" s="1">
        <v>0</v>
      </c>
      <c r="K1063" s="1">
        <v>78</v>
      </c>
      <c r="L1063" s="1" t="s">
        <v>38</v>
      </c>
      <c r="M1063" s="1" t="s">
        <v>7525</v>
      </c>
      <c r="N1063" s="1" t="s">
        <v>13</v>
      </c>
      <c r="O1063" s="1" t="s">
        <v>7526</v>
      </c>
    </row>
    <row r="1064" spans="1:15" x14ac:dyDescent="0.4">
      <c r="A1064" s="1" t="s">
        <v>3307</v>
      </c>
      <c r="B1064" s="1" t="s">
        <v>3249</v>
      </c>
      <c r="C1064" s="1" t="s">
        <v>3310</v>
      </c>
      <c r="D1064" s="1" t="s">
        <v>2526</v>
      </c>
      <c r="E1064" s="1" t="s">
        <v>8024</v>
      </c>
      <c r="F1064" s="1" t="s">
        <v>17</v>
      </c>
      <c r="G1064" s="4" t="str">
        <f>"07112-1441"</f>
        <v>07112-1441</v>
      </c>
      <c r="H1064" s="1">
        <v>0</v>
      </c>
      <c r="I1064" s="1">
        <v>0</v>
      </c>
      <c r="J1064" s="1">
        <v>0</v>
      </c>
      <c r="K1064" s="1">
        <v>0</v>
      </c>
      <c r="L1064" s="1" t="s">
        <v>2335</v>
      </c>
      <c r="M1064" s="1" t="s">
        <v>3308</v>
      </c>
      <c r="N1064" s="1" t="s">
        <v>13</v>
      </c>
      <c r="O1064" s="1" t="s">
        <v>3309</v>
      </c>
    </row>
    <row r="1065" spans="1:15" x14ac:dyDescent="0.4">
      <c r="A1065" s="1" t="s">
        <v>1571</v>
      </c>
      <c r="B1065" s="1" t="s">
        <v>1564</v>
      </c>
      <c r="C1065" s="1" t="s">
        <v>1572</v>
      </c>
      <c r="D1065" s="1" t="s">
        <v>1569</v>
      </c>
      <c r="E1065" s="1" t="s">
        <v>8019</v>
      </c>
      <c r="F1065" s="1" t="s">
        <v>17</v>
      </c>
      <c r="G1065" s="4" t="str">
        <f>"08055"</f>
        <v>08055</v>
      </c>
      <c r="H1065" s="1">
        <v>0</v>
      </c>
      <c r="I1065" s="1">
        <v>0</v>
      </c>
      <c r="J1065" s="1">
        <v>0</v>
      </c>
      <c r="K1065" s="1">
        <v>32</v>
      </c>
      <c r="L1065" s="1" t="s">
        <v>267</v>
      </c>
      <c r="M1065" s="1" t="s">
        <v>1566</v>
      </c>
      <c r="N1065" s="1" t="s">
        <v>13</v>
      </c>
      <c r="O1065" s="1" t="s">
        <v>1567</v>
      </c>
    </row>
    <row r="1066" spans="1:15" x14ac:dyDescent="0.4">
      <c r="A1066" s="1" t="s">
        <v>6730</v>
      </c>
      <c r="B1066" s="1" t="s">
        <v>6692</v>
      </c>
      <c r="C1066" s="1" t="s">
        <v>6733</v>
      </c>
      <c r="D1066" s="1" t="s">
        <v>2460</v>
      </c>
      <c r="E1066" s="1" t="s">
        <v>2670</v>
      </c>
      <c r="F1066" s="1" t="s">
        <v>17</v>
      </c>
      <c r="G1066" s="4" t="str">
        <f>"07505-1102"</f>
        <v>07505-1102</v>
      </c>
      <c r="H1066" s="1">
        <v>0</v>
      </c>
      <c r="I1066" s="1">
        <v>0</v>
      </c>
      <c r="J1066" s="1">
        <v>0</v>
      </c>
      <c r="K1066" s="1">
        <v>20</v>
      </c>
      <c r="L1066" s="1" t="s">
        <v>5806</v>
      </c>
      <c r="M1066" s="1" t="s">
        <v>6731</v>
      </c>
      <c r="N1066" s="1" t="s">
        <v>13</v>
      </c>
      <c r="O1066" s="1" t="s">
        <v>6732</v>
      </c>
    </row>
    <row r="1067" spans="1:15" x14ac:dyDescent="0.4">
      <c r="A1067" s="1" t="s">
        <v>5974</v>
      </c>
      <c r="B1067" s="1" t="s">
        <v>5955</v>
      </c>
      <c r="C1067" s="1" t="s">
        <v>5976</v>
      </c>
      <c r="D1067" s="1" t="s">
        <v>2789</v>
      </c>
      <c r="E1067" s="1" t="s">
        <v>1503</v>
      </c>
      <c r="F1067" s="1" t="s">
        <v>17</v>
      </c>
      <c r="G1067" s="4" t="str">
        <f>"07960"</f>
        <v>07960</v>
      </c>
      <c r="H1067" s="1">
        <v>0</v>
      </c>
      <c r="I1067" s="1">
        <v>0</v>
      </c>
      <c r="J1067" s="1">
        <v>0</v>
      </c>
      <c r="K1067" s="1">
        <v>55</v>
      </c>
      <c r="L1067" s="1" t="s">
        <v>380</v>
      </c>
      <c r="M1067" s="1" t="s">
        <v>765</v>
      </c>
      <c r="N1067" s="1" t="s">
        <v>13</v>
      </c>
      <c r="O1067" s="1" t="s">
        <v>5975</v>
      </c>
    </row>
    <row r="1068" spans="1:15" x14ac:dyDescent="0.4">
      <c r="A1068" s="1" t="s">
        <v>3968</v>
      </c>
      <c r="B1068" s="1" t="s">
        <v>3961</v>
      </c>
      <c r="C1068" s="1" t="s">
        <v>3971</v>
      </c>
      <c r="D1068" s="1" t="s">
        <v>3962</v>
      </c>
      <c r="E1068" s="1" t="s">
        <v>3646</v>
      </c>
      <c r="F1068" s="1" t="s">
        <v>17</v>
      </c>
      <c r="G1068" s="4" t="str">
        <f>"07047-5916"</f>
        <v>07047-5916</v>
      </c>
      <c r="H1068" s="1">
        <v>0</v>
      </c>
      <c r="I1068" s="1">
        <v>0</v>
      </c>
      <c r="J1068" s="1">
        <v>0</v>
      </c>
      <c r="K1068" s="1">
        <v>0</v>
      </c>
      <c r="L1068" s="1" t="s">
        <v>657</v>
      </c>
      <c r="M1068" s="1" t="s">
        <v>3969</v>
      </c>
      <c r="N1068" s="1" t="s">
        <v>13</v>
      </c>
      <c r="O1068" s="1" t="s">
        <v>3970</v>
      </c>
    </row>
    <row r="1069" spans="1:15" x14ac:dyDescent="0.4">
      <c r="A1069" s="1" t="s">
        <v>4799</v>
      </c>
      <c r="B1069" s="1" t="s">
        <v>4791</v>
      </c>
      <c r="C1069" s="1" t="s">
        <v>4802</v>
      </c>
      <c r="D1069" s="1" t="s">
        <v>4792</v>
      </c>
      <c r="E1069" s="1" t="s">
        <v>4704</v>
      </c>
      <c r="F1069" s="1" t="s">
        <v>17</v>
      </c>
      <c r="G1069" s="4" t="str">
        <f>"08902-9607"</f>
        <v>08902-9607</v>
      </c>
      <c r="H1069" s="1">
        <v>0</v>
      </c>
      <c r="I1069" s="1">
        <v>0</v>
      </c>
      <c r="J1069" s="1">
        <v>0</v>
      </c>
      <c r="K1069" s="1">
        <v>0</v>
      </c>
      <c r="L1069" s="1" t="s">
        <v>158</v>
      </c>
      <c r="M1069" s="1" t="s">
        <v>4800</v>
      </c>
      <c r="N1069" s="1" t="s">
        <v>13</v>
      </c>
      <c r="O1069" s="1" t="s">
        <v>4801</v>
      </c>
    </row>
    <row r="1070" spans="1:15" x14ac:dyDescent="0.4">
      <c r="A1070" s="1" t="s">
        <v>4804</v>
      </c>
      <c r="B1070" s="1" t="s">
        <v>4791</v>
      </c>
      <c r="C1070" s="1" t="s">
        <v>4807</v>
      </c>
      <c r="D1070" s="1" t="s">
        <v>4803</v>
      </c>
      <c r="E1070" s="1" t="s">
        <v>4704</v>
      </c>
      <c r="F1070" s="1" t="s">
        <v>17</v>
      </c>
      <c r="G1070" s="4" t="str">
        <f>"08902"</f>
        <v>08902</v>
      </c>
      <c r="H1070" s="1">
        <v>0</v>
      </c>
      <c r="I1070" s="1">
        <v>0</v>
      </c>
      <c r="J1070" s="1">
        <v>0</v>
      </c>
      <c r="K1070" s="1">
        <v>0</v>
      </c>
      <c r="L1070" s="1" t="s">
        <v>657</v>
      </c>
      <c r="M1070" s="1" t="s">
        <v>4805</v>
      </c>
      <c r="N1070" s="1" t="s">
        <v>13</v>
      </c>
      <c r="O1070" s="1" t="s">
        <v>4806</v>
      </c>
    </row>
    <row r="1071" spans="1:15" x14ac:dyDescent="0.4">
      <c r="A1071" s="1" t="s">
        <v>1641</v>
      </c>
      <c r="B1071" s="1" t="s">
        <v>1637</v>
      </c>
      <c r="C1071" s="1" t="s">
        <v>1644</v>
      </c>
      <c r="D1071" s="1" t="s">
        <v>1636</v>
      </c>
      <c r="E1071" s="1" t="s">
        <v>8019</v>
      </c>
      <c r="F1071" s="1" t="s">
        <v>17</v>
      </c>
      <c r="G1071" s="4" t="str">
        <f>"08652"</f>
        <v>08652</v>
      </c>
      <c r="H1071" s="1">
        <v>0</v>
      </c>
      <c r="I1071" s="1">
        <v>0</v>
      </c>
      <c r="J1071" s="1">
        <v>0</v>
      </c>
      <c r="K1071" s="1">
        <v>0</v>
      </c>
      <c r="L1071" s="1" t="s">
        <v>1413</v>
      </c>
      <c r="M1071" s="1" t="s">
        <v>1642</v>
      </c>
      <c r="N1071" s="1" t="s">
        <v>13</v>
      </c>
      <c r="O1071" s="1" t="s">
        <v>1643</v>
      </c>
    </row>
    <row r="1072" spans="1:15" x14ac:dyDescent="0.4">
      <c r="A1072" s="1" t="s">
        <v>4144</v>
      </c>
      <c r="B1072" s="1" t="s">
        <v>4143</v>
      </c>
      <c r="C1072" s="1" t="s">
        <v>4129</v>
      </c>
      <c r="D1072" s="1" t="s">
        <v>4130</v>
      </c>
      <c r="E1072" s="1" t="s">
        <v>8025</v>
      </c>
      <c r="F1072" s="1" t="s">
        <v>17</v>
      </c>
      <c r="G1072" s="4" t="str">
        <f>"08801"</f>
        <v>08801</v>
      </c>
      <c r="H1072" s="1">
        <v>0</v>
      </c>
      <c r="I1072" s="1">
        <v>0</v>
      </c>
      <c r="J1072" s="1">
        <v>0</v>
      </c>
      <c r="K1072" s="1">
        <v>0</v>
      </c>
      <c r="L1072" s="1" t="s">
        <v>1008</v>
      </c>
      <c r="M1072" s="1" t="s">
        <v>4145</v>
      </c>
      <c r="N1072" s="1" t="s">
        <v>13</v>
      </c>
      <c r="O1072" s="1" t="s">
        <v>4146</v>
      </c>
    </row>
    <row r="1073" spans="1:15" x14ac:dyDescent="0.4">
      <c r="A1073" s="1" t="s">
        <v>7207</v>
      </c>
      <c r="B1073" s="1" t="s">
        <v>7205</v>
      </c>
      <c r="C1073" s="1" t="s">
        <v>7210</v>
      </c>
      <c r="D1073" s="1" t="s">
        <v>7206</v>
      </c>
      <c r="E1073" s="1" t="s">
        <v>2471</v>
      </c>
      <c r="F1073" s="1" t="s">
        <v>17</v>
      </c>
      <c r="G1073" s="4" t="str">
        <f>"07060-4075"</f>
        <v>07060-4075</v>
      </c>
      <c r="H1073" s="1">
        <v>0</v>
      </c>
      <c r="I1073" s="1">
        <v>0</v>
      </c>
      <c r="J1073" s="1">
        <v>0</v>
      </c>
      <c r="K1073" s="1">
        <v>0</v>
      </c>
      <c r="L1073" s="1" t="s">
        <v>62</v>
      </c>
      <c r="M1073" s="1" t="s">
        <v>7208</v>
      </c>
      <c r="N1073" s="1" t="s">
        <v>13</v>
      </c>
      <c r="O1073" s="1" t="s">
        <v>7209</v>
      </c>
    </row>
    <row r="1074" spans="1:15" x14ac:dyDescent="0.4">
      <c r="A1074" s="1" t="s">
        <v>7211</v>
      </c>
      <c r="B1074" s="1" t="s">
        <v>7205</v>
      </c>
      <c r="C1074" s="1" t="s">
        <v>7210</v>
      </c>
      <c r="D1074" s="1" t="s">
        <v>7206</v>
      </c>
      <c r="E1074" s="1" t="s">
        <v>2471</v>
      </c>
      <c r="F1074" s="1" t="s">
        <v>17</v>
      </c>
      <c r="G1074" s="4" t="str">
        <f>"07060-4075"</f>
        <v>07060-4075</v>
      </c>
      <c r="H1074" s="1">
        <v>0</v>
      </c>
      <c r="I1074" s="1">
        <v>0</v>
      </c>
      <c r="J1074" s="1">
        <v>0</v>
      </c>
      <c r="K1074" s="1">
        <v>0</v>
      </c>
      <c r="L1074" s="1" t="s">
        <v>306</v>
      </c>
      <c r="M1074" s="1" t="s">
        <v>7212</v>
      </c>
      <c r="N1074" s="1" t="s">
        <v>13</v>
      </c>
      <c r="O1074" s="1" t="s">
        <v>7213</v>
      </c>
    </row>
    <row r="1075" spans="1:15" x14ac:dyDescent="0.4">
      <c r="A1075" s="1" t="s">
        <v>2653</v>
      </c>
      <c r="B1075" s="1" t="s">
        <v>2653</v>
      </c>
      <c r="C1075" s="1" t="s">
        <v>2656</v>
      </c>
      <c r="D1075" s="1" t="s">
        <v>2526</v>
      </c>
      <c r="E1075" s="1" t="s">
        <v>8022</v>
      </c>
      <c r="F1075" s="1" t="s">
        <v>17</v>
      </c>
      <c r="G1075" s="4" t="str">
        <f>"07102"</f>
        <v>07102</v>
      </c>
      <c r="H1075" s="1">
        <v>0</v>
      </c>
      <c r="I1075" s="1">
        <v>0</v>
      </c>
      <c r="J1075" s="1">
        <v>0</v>
      </c>
      <c r="K1075" s="1">
        <v>542</v>
      </c>
      <c r="L1075" s="1" t="s">
        <v>38</v>
      </c>
      <c r="M1075" s="1" t="s">
        <v>2654</v>
      </c>
      <c r="N1075" s="1" t="s">
        <v>13</v>
      </c>
      <c r="O1075" s="1" t="s">
        <v>2655</v>
      </c>
    </row>
    <row r="1076" spans="1:15" x14ac:dyDescent="0.4">
      <c r="A1076" s="1" t="s">
        <v>7974</v>
      </c>
      <c r="B1076" s="1" t="s">
        <v>7973</v>
      </c>
      <c r="C1076" s="1" t="s">
        <v>7978</v>
      </c>
      <c r="D1076" s="1" t="s">
        <v>2715</v>
      </c>
      <c r="E1076" s="1" t="s">
        <v>55</v>
      </c>
      <c r="F1076" s="1" t="s">
        <v>17</v>
      </c>
      <c r="G1076" s="4" t="str">
        <f>"07825-0410"</f>
        <v>07825-0410</v>
      </c>
      <c r="H1076" s="1">
        <v>0</v>
      </c>
      <c r="I1076" s="1">
        <v>0</v>
      </c>
      <c r="J1076" s="1">
        <v>0</v>
      </c>
      <c r="K1076" s="1">
        <v>0</v>
      </c>
      <c r="L1076" s="1" t="s">
        <v>7975</v>
      </c>
      <c r="M1076" s="1" t="s">
        <v>7976</v>
      </c>
      <c r="N1076" s="1" t="s">
        <v>13</v>
      </c>
      <c r="O1076" s="1" t="s">
        <v>7977</v>
      </c>
    </row>
    <row r="1077" spans="1:15" x14ac:dyDescent="0.4">
      <c r="A1077" s="1" t="s">
        <v>3237</v>
      </c>
      <c r="B1077" s="1" t="s">
        <v>3202</v>
      </c>
      <c r="C1077" s="1" t="s">
        <v>3240</v>
      </c>
      <c r="D1077" s="1" t="s">
        <v>3208</v>
      </c>
      <c r="E1077" s="1" t="s">
        <v>8024</v>
      </c>
      <c r="F1077" s="1" t="s">
        <v>17</v>
      </c>
      <c r="G1077" s="4" t="str">
        <f>"07042"</f>
        <v>07042</v>
      </c>
      <c r="H1077" s="1">
        <v>0</v>
      </c>
      <c r="I1077" s="1">
        <v>0</v>
      </c>
      <c r="J1077" s="1">
        <v>0</v>
      </c>
      <c r="K1077" s="1">
        <v>62</v>
      </c>
      <c r="L1077" s="1" t="s">
        <v>62</v>
      </c>
      <c r="M1077" s="1" t="s">
        <v>3238</v>
      </c>
      <c r="N1077" s="1" t="s">
        <v>13</v>
      </c>
      <c r="O1077" s="1" t="s">
        <v>3239</v>
      </c>
    </row>
    <row r="1078" spans="1:15" x14ac:dyDescent="0.4">
      <c r="A1078" s="1" t="s">
        <v>1646</v>
      </c>
      <c r="B1078" s="1" t="s">
        <v>1645</v>
      </c>
      <c r="C1078" s="1" t="s">
        <v>1648</v>
      </c>
      <c r="D1078" s="1" t="s">
        <v>1545</v>
      </c>
      <c r="E1078" s="1" t="s">
        <v>8019</v>
      </c>
      <c r="F1078" s="1" t="s">
        <v>17</v>
      </c>
      <c r="G1078" s="4" t="str">
        <f>"08022-9738"</f>
        <v>08022-9738</v>
      </c>
      <c r="H1078" s="1">
        <v>0</v>
      </c>
      <c r="I1078" s="1">
        <v>0</v>
      </c>
      <c r="J1078" s="1">
        <v>0</v>
      </c>
      <c r="K1078" s="1">
        <v>0</v>
      </c>
      <c r="L1078" s="1" t="s">
        <v>667</v>
      </c>
      <c r="M1078" s="1" t="s">
        <v>312</v>
      </c>
      <c r="N1078" s="1" t="s">
        <v>13</v>
      </c>
      <c r="O1078" s="1" t="s">
        <v>1647</v>
      </c>
    </row>
    <row r="1079" spans="1:15" x14ac:dyDescent="0.4">
      <c r="A1079" s="1" t="s">
        <v>1649</v>
      </c>
      <c r="B1079" s="1" t="s">
        <v>1645</v>
      </c>
      <c r="C1079" s="1" t="s">
        <v>1652</v>
      </c>
      <c r="D1079" s="1" t="s">
        <v>1545</v>
      </c>
      <c r="E1079" s="1" t="s">
        <v>8019</v>
      </c>
      <c r="F1079" s="1" t="s">
        <v>17</v>
      </c>
      <c r="G1079" s="4" t="str">
        <f>"08022"</f>
        <v>08022</v>
      </c>
      <c r="H1079" s="1">
        <v>0</v>
      </c>
      <c r="I1079" s="1">
        <v>0</v>
      </c>
      <c r="J1079" s="1">
        <v>0</v>
      </c>
      <c r="K1079" s="1">
        <v>0</v>
      </c>
      <c r="L1079" s="1" t="s">
        <v>836</v>
      </c>
      <c r="M1079" s="1" t="s">
        <v>1650</v>
      </c>
      <c r="N1079" s="1" t="s">
        <v>13</v>
      </c>
      <c r="O1079" s="1" t="s">
        <v>1651</v>
      </c>
    </row>
    <row r="1080" spans="1:15" x14ac:dyDescent="0.4">
      <c r="A1080" s="1" t="s">
        <v>888</v>
      </c>
      <c r="B1080" s="1" t="s">
        <v>887</v>
      </c>
      <c r="C1080" s="1" t="s">
        <v>891</v>
      </c>
      <c r="D1080" s="1" t="s">
        <v>892</v>
      </c>
      <c r="E1080" s="1" t="s">
        <v>8018</v>
      </c>
      <c r="F1080" s="1" t="s">
        <v>17</v>
      </c>
      <c r="G1080" s="4" t="str">
        <f>"07401-1447"</f>
        <v>07401-1447</v>
      </c>
      <c r="H1080" s="1">
        <v>0</v>
      </c>
      <c r="I1080" s="1">
        <v>0</v>
      </c>
      <c r="J1080" s="1">
        <v>0</v>
      </c>
      <c r="K1080" s="1">
        <v>0</v>
      </c>
      <c r="L1080" s="1" t="s">
        <v>62</v>
      </c>
      <c r="M1080" s="1" t="s">
        <v>889</v>
      </c>
      <c r="N1080" s="1" t="s">
        <v>13</v>
      </c>
      <c r="O1080" s="1" t="s">
        <v>890</v>
      </c>
    </row>
    <row r="1081" spans="1:15" x14ac:dyDescent="0.4">
      <c r="A1081" s="1" t="s">
        <v>7365</v>
      </c>
      <c r="B1081" s="1" t="s">
        <v>7364</v>
      </c>
      <c r="C1081" s="1" t="s">
        <v>7367</v>
      </c>
      <c r="D1081" s="1" t="s">
        <v>2741</v>
      </c>
      <c r="E1081" s="1" t="s">
        <v>8030</v>
      </c>
      <c r="F1081" s="1" t="s">
        <v>17</v>
      </c>
      <c r="G1081" s="4" t="str">
        <f>"07871"</f>
        <v>07871</v>
      </c>
      <c r="H1081" s="1">
        <v>0</v>
      </c>
      <c r="I1081" s="1">
        <v>0</v>
      </c>
      <c r="J1081" s="1">
        <v>0</v>
      </c>
      <c r="K1081" s="1">
        <v>0</v>
      </c>
      <c r="L1081" s="1" t="s">
        <v>1761</v>
      </c>
      <c r="M1081" s="1" t="s">
        <v>5126</v>
      </c>
      <c r="N1081" s="1" t="s">
        <v>13</v>
      </c>
      <c r="O1081" s="1" t="s">
        <v>7366</v>
      </c>
    </row>
    <row r="1082" spans="1:15" x14ac:dyDescent="0.4">
      <c r="A1082" s="1" t="s">
        <v>895</v>
      </c>
      <c r="B1082" s="1" t="s">
        <v>894</v>
      </c>
      <c r="C1082" s="1" t="s">
        <v>898</v>
      </c>
      <c r="D1082" s="1" t="s">
        <v>333</v>
      </c>
      <c r="E1082" s="1" t="s">
        <v>8018</v>
      </c>
      <c r="F1082" s="1" t="s">
        <v>17</v>
      </c>
      <c r="G1082" s="4" t="str">
        <f>"07627-1026"</f>
        <v>07627-1026</v>
      </c>
      <c r="H1082" s="1">
        <v>0</v>
      </c>
      <c r="I1082" s="1">
        <v>0</v>
      </c>
      <c r="J1082" s="1">
        <v>0</v>
      </c>
      <c r="K1082" s="1">
        <v>0</v>
      </c>
      <c r="L1082" s="1" t="s">
        <v>275</v>
      </c>
      <c r="M1082" s="1" t="s">
        <v>896</v>
      </c>
      <c r="N1082" s="1" t="s">
        <v>13</v>
      </c>
      <c r="O1082" s="1" t="s">
        <v>897</v>
      </c>
    </row>
    <row r="1083" spans="1:15" x14ac:dyDescent="0.4">
      <c r="A1083" s="1" t="s">
        <v>899</v>
      </c>
      <c r="B1083" s="1" t="s">
        <v>894</v>
      </c>
      <c r="C1083" s="1" t="s">
        <v>902</v>
      </c>
      <c r="D1083" s="1" t="s">
        <v>903</v>
      </c>
      <c r="E1083" s="1" t="s">
        <v>8018</v>
      </c>
      <c r="F1083" s="1" t="s">
        <v>17</v>
      </c>
      <c r="G1083" s="4" t="str">
        <f>"07675"</f>
        <v>07675</v>
      </c>
      <c r="H1083" s="1">
        <v>0</v>
      </c>
      <c r="I1083" s="1">
        <v>0</v>
      </c>
      <c r="J1083" s="1">
        <v>0</v>
      </c>
      <c r="K1083" s="1">
        <v>0</v>
      </c>
      <c r="L1083" s="1" t="s">
        <v>123</v>
      </c>
      <c r="M1083" s="1" t="s">
        <v>900</v>
      </c>
      <c r="N1083" s="1" t="s">
        <v>13</v>
      </c>
      <c r="O1083" s="1" t="s">
        <v>901</v>
      </c>
    </row>
    <row r="1084" spans="1:15" x14ac:dyDescent="0.4">
      <c r="A1084" s="1" t="s">
        <v>230</v>
      </c>
      <c r="B1084" s="1" t="s">
        <v>225</v>
      </c>
      <c r="C1084" s="1" t="s">
        <v>228</v>
      </c>
      <c r="D1084" s="1" t="s">
        <v>229</v>
      </c>
      <c r="E1084" s="1" t="s">
        <v>8017</v>
      </c>
      <c r="F1084" s="1" t="s">
        <v>17</v>
      </c>
      <c r="G1084" s="4" t="str">
        <f>"08225"</f>
        <v>08225</v>
      </c>
      <c r="H1084" s="1">
        <v>0</v>
      </c>
      <c r="I1084" s="1">
        <v>0</v>
      </c>
      <c r="J1084" s="1">
        <v>0</v>
      </c>
      <c r="K1084" s="1">
        <v>0</v>
      </c>
      <c r="L1084" s="1" t="s">
        <v>11</v>
      </c>
      <c r="M1084" s="1" t="s">
        <v>231</v>
      </c>
      <c r="N1084" s="1" t="s">
        <v>13</v>
      </c>
      <c r="O1084" s="1" t="s">
        <v>232</v>
      </c>
    </row>
    <row r="1085" spans="1:15" x14ac:dyDescent="0.4">
      <c r="A1085" s="1" t="s">
        <v>6057</v>
      </c>
      <c r="B1085" s="1" t="s">
        <v>6029</v>
      </c>
      <c r="C1085" s="1" t="s">
        <v>6060</v>
      </c>
      <c r="D1085" s="1" t="s">
        <v>6061</v>
      </c>
      <c r="E1085" s="1" t="s">
        <v>1503</v>
      </c>
      <c r="F1085" s="1" t="s">
        <v>17</v>
      </c>
      <c r="G1085" s="4" t="str">
        <f>"07054-1430"</f>
        <v>07054-1430</v>
      </c>
      <c r="H1085" s="1">
        <v>0</v>
      </c>
      <c r="I1085" s="1">
        <v>0</v>
      </c>
      <c r="J1085" s="1">
        <v>0</v>
      </c>
      <c r="K1085" s="1">
        <v>43</v>
      </c>
      <c r="L1085" s="1" t="s">
        <v>4976</v>
      </c>
      <c r="M1085" s="1" t="s">
        <v>6058</v>
      </c>
      <c r="N1085" s="1" t="s">
        <v>13</v>
      </c>
      <c r="O1085" s="1" t="s">
        <v>6059</v>
      </c>
    </row>
    <row r="1086" spans="1:15" x14ac:dyDescent="0.4">
      <c r="A1086" s="1" t="s">
        <v>5511</v>
      </c>
      <c r="B1086" s="1" t="s">
        <v>5469</v>
      </c>
      <c r="C1086" s="1" t="s">
        <v>5513</v>
      </c>
      <c r="D1086" s="1" t="s">
        <v>5494</v>
      </c>
      <c r="E1086" s="1" t="s">
        <v>8027</v>
      </c>
      <c r="F1086" s="1" t="s">
        <v>17</v>
      </c>
      <c r="G1086" s="4" t="str">
        <f>"07748-3198"</f>
        <v>07748-3198</v>
      </c>
      <c r="H1086" s="1">
        <v>0</v>
      </c>
      <c r="I1086" s="1">
        <v>0</v>
      </c>
      <c r="J1086" s="1">
        <v>0</v>
      </c>
      <c r="K1086" s="1">
        <v>70</v>
      </c>
      <c r="L1086" s="1" t="s">
        <v>1855</v>
      </c>
      <c r="M1086" s="1" t="s">
        <v>4111</v>
      </c>
      <c r="N1086" s="1" t="s">
        <v>13</v>
      </c>
      <c r="O1086" s="1" t="s">
        <v>5512</v>
      </c>
    </row>
    <row r="1087" spans="1:15" x14ac:dyDescent="0.4">
      <c r="A1087" s="1" t="s">
        <v>3378</v>
      </c>
      <c r="B1087" s="1" t="s">
        <v>3368</v>
      </c>
      <c r="C1087" s="1" t="s">
        <v>3382</v>
      </c>
      <c r="D1087" s="1" t="s">
        <v>3374</v>
      </c>
      <c r="E1087" s="1" t="s">
        <v>8024</v>
      </c>
      <c r="F1087" s="1" t="s">
        <v>17</v>
      </c>
      <c r="G1087" s="4" t="str">
        <f>"07110-2734"</f>
        <v>07110-2734</v>
      </c>
      <c r="H1087" s="1">
        <v>0</v>
      </c>
      <c r="I1087" s="1">
        <v>0</v>
      </c>
      <c r="J1087" s="1">
        <v>0</v>
      </c>
      <c r="K1087" s="1">
        <v>0</v>
      </c>
      <c r="L1087" s="1" t="s">
        <v>3379</v>
      </c>
      <c r="M1087" s="1" t="s">
        <v>3380</v>
      </c>
      <c r="N1087" s="1" t="s">
        <v>13</v>
      </c>
      <c r="O1087" s="1" t="s">
        <v>3381</v>
      </c>
    </row>
    <row r="1088" spans="1:15" x14ac:dyDescent="0.4">
      <c r="A1088" s="1" t="s">
        <v>4639</v>
      </c>
      <c r="B1088" s="1" t="s">
        <v>4629</v>
      </c>
      <c r="C1088" s="1" t="s">
        <v>4641</v>
      </c>
      <c r="D1088" s="1" t="s">
        <v>4631</v>
      </c>
      <c r="E1088" s="1" t="s">
        <v>4704</v>
      </c>
      <c r="F1088" s="1" t="s">
        <v>17</v>
      </c>
      <c r="G1088" s="4" t="str">
        <f>"08854"</f>
        <v>08854</v>
      </c>
      <c r="H1088" s="1">
        <v>0</v>
      </c>
      <c r="I1088" s="1">
        <v>0</v>
      </c>
      <c r="J1088" s="1">
        <v>0</v>
      </c>
      <c r="K1088" s="1">
        <v>0</v>
      </c>
      <c r="L1088" s="1" t="s">
        <v>143</v>
      </c>
      <c r="M1088" s="1" t="s">
        <v>39</v>
      </c>
      <c r="N1088" s="1" t="s">
        <v>13</v>
      </c>
      <c r="O1088" s="1" t="s">
        <v>4640</v>
      </c>
    </row>
    <row r="1089" spans="1:15" x14ac:dyDescent="0.4">
      <c r="A1089" s="1" t="s">
        <v>5098</v>
      </c>
      <c r="B1089" s="1" t="s">
        <v>5044</v>
      </c>
      <c r="C1089" s="1" t="s">
        <v>5101</v>
      </c>
      <c r="D1089" s="1" t="s">
        <v>5059</v>
      </c>
      <c r="E1089" s="1" t="s">
        <v>4704</v>
      </c>
      <c r="F1089" s="1" t="s">
        <v>17</v>
      </c>
      <c r="G1089" s="4" t="str">
        <f>"07067"</f>
        <v>07067</v>
      </c>
      <c r="H1089" s="1">
        <v>0</v>
      </c>
      <c r="I1089" s="1">
        <v>0</v>
      </c>
      <c r="J1089" s="1">
        <v>0</v>
      </c>
      <c r="K1089" s="1">
        <v>29</v>
      </c>
      <c r="L1089" s="1" t="s">
        <v>169</v>
      </c>
      <c r="M1089" s="1" t="s">
        <v>5099</v>
      </c>
      <c r="N1089" s="1" t="s">
        <v>13</v>
      </c>
      <c r="O1089" s="1" t="s">
        <v>5100</v>
      </c>
    </row>
    <row r="1090" spans="1:15" x14ac:dyDescent="0.4">
      <c r="A1090" s="1" t="s">
        <v>6344</v>
      </c>
      <c r="B1090" s="1" t="s">
        <v>6328</v>
      </c>
      <c r="C1090" s="1" t="s">
        <v>6347</v>
      </c>
      <c r="D1090" s="1" t="s">
        <v>6333</v>
      </c>
      <c r="E1090" s="1" t="s">
        <v>8028</v>
      </c>
      <c r="F1090" s="1" t="s">
        <v>17</v>
      </c>
      <c r="G1090" s="4" t="str">
        <f>"08701"</f>
        <v>08701</v>
      </c>
      <c r="H1090" s="1">
        <v>0</v>
      </c>
      <c r="I1090" s="1">
        <v>0</v>
      </c>
      <c r="J1090" s="1">
        <v>0</v>
      </c>
      <c r="K1090" s="1">
        <v>0</v>
      </c>
      <c r="L1090" s="1" t="s">
        <v>18</v>
      </c>
      <c r="M1090" s="1" t="s">
        <v>6345</v>
      </c>
      <c r="N1090" s="1" t="s">
        <v>13</v>
      </c>
      <c r="O1090" s="1" t="s">
        <v>6346</v>
      </c>
    </row>
    <row r="1091" spans="1:15" x14ac:dyDescent="0.4">
      <c r="A1091" s="1" t="s">
        <v>7053</v>
      </c>
      <c r="B1091" s="1" t="s">
        <v>7043</v>
      </c>
      <c r="C1091" s="1" t="s">
        <v>7055</v>
      </c>
      <c r="D1091" s="1" t="s">
        <v>7047</v>
      </c>
      <c r="E1091" s="1" t="s">
        <v>2471</v>
      </c>
      <c r="F1091" s="1" t="s">
        <v>17</v>
      </c>
      <c r="G1091" s="4" t="str">
        <f>"07920-1735"</f>
        <v>07920-1735</v>
      </c>
      <c r="H1091" s="1">
        <v>0</v>
      </c>
      <c r="I1091" s="1">
        <v>0</v>
      </c>
      <c r="J1091" s="1">
        <v>0</v>
      </c>
      <c r="K1091" s="1">
        <v>60</v>
      </c>
      <c r="L1091" s="1" t="s">
        <v>1187</v>
      </c>
      <c r="M1091" s="1" t="s">
        <v>131</v>
      </c>
      <c r="N1091" s="1" t="s">
        <v>13</v>
      </c>
      <c r="O1091" s="1" t="s">
        <v>7054</v>
      </c>
    </row>
    <row r="1092" spans="1:15" x14ac:dyDescent="0.4">
      <c r="A1092" s="1" t="s">
        <v>4754</v>
      </c>
      <c r="B1092" s="1" t="s">
        <v>4734</v>
      </c>
      <c r="C1092" s="1" t="s">
        <v>4757</v>
      </c>
      <c r="D1092" s="1" t="s">
        <v>4630</v>
      </c>
      <c r="E1092" s="1" t="s">
        <v>4704</v>
      </c>
      <c r="F1092" s="1" t="s">
        <v>17</v>
      </c>
      <c r="G1092" s="4" t="str">
        <f>"08831"</f>
        <v>08831</v>
      </c>
      <c r="H1092" s="1">
        <v>0</v>
      </c>
      <c r="I1092" s="1">
        <v>0</v>
      </c>
      <c r="J1092" s="1">
        <v>95</v>
      </c>
      <c r="K1092" s="1">
        <v>6</v>
      </c>
      <c r="L1092" s="1" t="s">
        <v>140</v>
      </c>
      <c r="M1092" s="1" t="s">
        <v>4755</v>
      </c>
      <c r="N1092" s="1" t="s">
        <v>13</v>
      </c>
      <c r="O1092" s="1" t="s">
        <v>4756</v>
      </c>
    </row>
    <row r="1093" spans="1:15" x14ac:dyDescent="0.4">
      <c r="A1093" s="1" t="s">
        <v>5102</v>
      </c>
      <c r="B1093" s="1" t="s">
        <v>5044</v>
      </c>
      <c r="C1093" s="1" t="s">
        <v>5105</v>
      </c>
      <c r="D1093" s="1" t="s">
        <v>5076</v>
      </c>
      <c r="E1093" s="1" t="s">
        <v>4704</v>
      </c>
      <c r="F1093" s="1" t="s">
        <v>17</v>
      </c>
      <c r="G1093" s="4" t="str">
        <f>"08830"</f>
        <v>08830</v>
      </c>
      <c r="H1093" s="1">
        <v>0</v>
      </c>
      <c r="I1093" s="1">
        <v>0</v>
      </c>
      <c r="J1093" s="1">
        <v>0</v>
      </c>
      <c r="K1093" s="1">
        <v>55</v>
      </c>
      <c r="L1093" s="1" t="s">
        <v>407</v>
      </c>
      <c r="M1093" s="1" t="s">
        <v>5103</v>
      </c>
      <c r="N1093" s="1" t="s">
        <v>13</v>
      </c>
      <c r="O1093" s="1" t="s">
        <v>5104</v>
      </c>
    </row>
    <row r="1094" spans="1:15" x14ac:dyDescent="0.4">
      <c r="A1094" s="1" t="s">
        <v>3588</v>
      </c>
      <c r="B1094" s="1" t="s">
        <v>3570</v>
      </c>
      <c r="C1094" s="1" t="s">
        <v>3591</v>
      </c>
      <c r="D1094" s="1" t="s">
        <v>3592</v>
      </c>
      <c r="E1094" s="1" t="s">
        <v>8020</v>
      </c>
      <c r="F1094" s="1" t="s">
        <v>17</v>
      </c>
      <c r="G1094" s="4" t="str">
        <f>"08090"</f>
        <v>08090</v>
      </c>
      <c r="H1094" s="1">
        <v>0</v>
      </c>
      <c r="I1094" s="1">
        <v>0</v>
      </c>
      <c r="J1094" s="1">
        <v>0</v>
      </c>
      <c r="K1094" s="1">
        <v>0</v>
      </c>
      <c r="L1094" s="1" t="s">
        <v>306</v>
      </c>
      <c r="M1094" s="1" t="s">
        <v>3589</v>
      </c>
      <c r="N1094" s="1" t="s">
        <v>13</v>
      </c>
      <c r="O1094" s="1" t="s">
        <v>3590</v>
      </c>
    </row>
    <row r="1095" spans="1:15" x14ac:dyDescent="0.4">
      <c r="A1095" s="1" t="s">
        <v>2990</v>
      </c>
      <c r="B1095" s="1" t="s">
        <v>2958</v>
      </c>
      <c r="C1095" s="1" t="s">
        <v>2993</v>
      </c>
      <c r="D1095" s="1" t="s">
        <v>2964</v>
      </c>
      <c r="E1095" s="1" t="s">
        <v>8024</v>
      </c>
      <c r="F1095" s="1" t="s">
        <v>17</v>
      </c>
      <c r="G1095" s="4" t="str">
        <f>"07003"</f>
        <v>07003</v>
      </c>
      <c r="H1095" s="1">
        <v>0</v>
      </c>
      <c r="I1095" s="1">
        <v>0</v>
      </c>
      <c r="J1095" s="1">
        <v>0</v>
      </c>
      <c r="K1095" s="1">
        <v>66</v>
      </c>
      <c r="L1095" s="1" t="s">
        <v>354</v>
      </c>
      <c r="M1095" s="1" t="s">
        <v>2991</v>
      </c>
      <c r="N1095" s="1" t="s">
        <v>13</v>
      </c>
      <c r="O1095" s="1" t="s">
        <v>2992</v>
      </c>
    </row>
    <row r="1096" spans="1:15" x14ac:dyDescent="0.4">
      <c r="A1096" s="1" t="s">
        <v>157</v>
      </c>
      <c r="B1096" s="1" t="s">
        <v>144</v>
      </c>
      <c r="C1096" s="1" t="s">
        <v>161</v>
      </c>
      <c r="D1096" s="1" t="s">
        <v>53</v>
      </c>
      <c r="E1096" s="1" t="s">
        <v>8017</v>
      </c>
      <c r="F1096" s="1" t="s">
        <v>17</v>
      </c>
      <c r="G1096" s="4" t="str">
        <f>"08330-2640"</f>
        <v>08330-2640</v>
      </c>
      <c r="H1096" s="1">
        <v>0</v>
      </c>
      <c r="I1096" s="1">
        <v>0</v>
      </c>
      <c r="J1096" s="1">
        <v>0</v>
      </c>
      <c r="K1096" s="1">
        <v>0</v>
      </c>
      <c r="L1096" s="1" t="s">
        <v>158</v>
      </c>
      <c r="M1096" s="1" t="s">
        <v>159</v>
      </c>
      <c r="N1096" s="1" t="s">
        <v>13</v>
      </c>
      <c r="O1096" s="1" t="s">
        <v>160</v>
      </c>
    </row>
    <row r="1097" spans="1:15" x14ac:dyDescent="0.4">
      <c r="A1097" s="1" t="s">
        <v>2658</v>
      </c>
      <c r="B1097" s="1" t="s">
        <v>2658</v>
      </c>
      <c r="C1097" s="1" t="s">
        <v>2661</v>
      </c>
      <c r="D1097" s="1" t="s">
        <v>2662</v>
      </c>
      <c r="E1097" s="1" t="s">
        <v>8022</v>
      </c>
      <c r="F1097" s="1" t="s">
        <v>17</v>
      </c>
      <c r="G1097" s="4" t="str">
        <f>"08701"</f>
        <v>08701</v>
      </c>
      <c r="H1097" s="1">
        <v>0</v>
      </c>
      <c r="I1097" s="1">
        <v>0</v>
      </c>
      <c r="J1097" s="1">
        <v>0</v>
      </c>
      <c r="K1097" s="1">
        <v>56</v>
      </c>
      <c r="L1097" s="1" t="s">
        <v>2659</v>
      </c>
      <c r="M1097" s="1" t="s">
        <v>421</v>
      </c>
      <c r="N1097" s="1" t="s">
        <v>129</v>
      </c>
      <c r="O1097" s="1" t="s">
        <v>2660</v>
      </c>
    </row>
    <row r="1098" spans="1:15" x14ac:dyDescent="0.4">
      <c r="A1098" s="1" t="s">
        <v>2367</v>
      </c>
      <c r="B1098" s="1" t="s">
        <v>2366</v>
      </c>
      <c r="C1098" s="1" t="s">
        <v>2370</v>
      </c>
      <c r="D1098" s="1" t="s">
        <v>2371</v>
      </c>
      <c r="E1098" s="1" t="s">
        <v>8021</v>
      </c>
      <c r="F1098" s="1" t="s">
        <v>17</v>
      </c>
      <c r="G1098" s="4" t="str">
        <f>"08226"</f>
        <v>08226</v>
      </c>
      <c r="H1098" s="1">
        <v>0</v>
      </c>
      <c r="I1098" s="1">
        <v>0</v>
      </c>
      <c r="J1098" s="1">
        <v>0</v>
      </c>
      <c r="K1098" s="1">
        <v>0</v>
      </c>
      <c r="L1098" s="1" t="s">
        <v>2368</v>
      </c>
      <c r="M1098" s="1" t="s">
        <v>8045</v>
      </c>
      <c r="N1098" s="1" t="s">
        <v>13</v>
      </c>
      <c r="O1098" s="1" t="s">
        <v>2369</v>
      </c>
    </row>
    <row r="1099" spans="1:15" x14ac:dyDescent="0.4">
      <c r="A1099" s="1" t="s">
        <v>2372</v>
      </c>
      <c r="B1099" s="1" t="s">
        <v>2366</v>
      </c>
      <c r="C1099" s="1" t="s">
        <v>2375</v>
      </c>
      <c r="D1099" s="1" t="s">
        <v>2371</v>
      </c>
      <c r="E1099" s="1" t="s">
        <v>8021</v>
      </c>
      <c r="F1099" s="1" t="s">
        <v>17</v>
      </c>
      <c r="G1099" s="4" t="str">
        <f>"08226"</f>
        <v>08226</v>
      </c>
      <c r="H1099" s="1">
        <v>0</v>
      </c>
      <c r="I1099" s="1">
        <v>0</v>
      </c>
      <c r="J1099" s="1">
        <v>0</v>
      </c>
      <c r="K1099" s="1">
        <v>0</v>
      </c>
      <c r="L1099" s="1" t="s">
        <v>1408</v>
      </c>
      <c r="M1099" s="1" t="s">
        <v>2373</v>
      </c>
      <c r="N1099" s="1" t="s">
        <v>13</v>
      </c>
      <c r="O1099" s="1" t="s">
        <v>2374</v>
      </c>
    </row>
    <row r="1100" spans="1:15" x14ac:dyDescent="0.4">
      <c r="A1100" s="1" t="s">
        <v>6388</v>
      </c>
      <c r="B1100" s="1" t="s">
        <v>6377</v>
      </c>
      <c r="C1100" s="1" t="s">
        <v>6390</v>
      </c>
      <c r="D1100" s="1" t="s">
        <v>6251</v>
      </c>
      <c r="E1100" s="1" t="s">
        <v>8028</v>
      </c>
      <c r="F1100" s="1" t="s">
        <v>17</v>
      </c>
      <c r="G1100" s="4" t="str">
        <f>"08723-2896"</f>
        <v>08723-2896</v>
      </c>
      <c r="H1100" s="1">
        <v>0</v>
      </c>
      <c r="I1100" s="1">
        <v>0</v>
      </c>
      <c r="J1100" s="1">
        <v>0</v>
      </c>
      <c r="K1100" s="1">
        <v>0</v>
      </c>
      <c r="L1100" s="1" t="s">
        <v>220</v>
      </c>
      <c r="M1100" s="1" t="s">
        <v>5541</v>
      </c>
      <c r="N1100" s="1" t="s">
        <v>13</v>
      </c>
      <c r="O1100" s="1" t="s">
        <v>6389</v>
      </c>
    </row>
    <row r="1101" spans="1:15" x14ac:dyDescent="0.4">
      <c r="A1101" s="1" t="s">
        <v>6391</v>
      </c>
      <c r="B1101" s="1" t="s">
        <v>6377</v>
      </c>
      <c r="C1101" s="1" t="s">
        <v>6394</v>
      </c>
      <c r="D1101" s="1" t="s">
        <v>6368</v>
      </c>
      <c r="E1101" s="1" t="s">
        <v>8028</v>
      </c>
      <c r="F1101" s="1" t="s">
        <v>17</v>
      </c>
      <c r="G1101" s="4" t="str">
        <f>"08527-9241"</f>
        <v>08527-9241</v>
      </c>
      <c r="H1101" s="1">
        <v>0</v>
      </c>
      <c r="I1101" s="1">
        <v>0</v>
      </c>
      <c r="J1101" s="1">
        <v>0</v>
      </c>
      <c r="K1101" s="1">
        <v>0</v>
      </c>
      <c r="L1101" s="1" t="s">
        <v>434</v>
      </c>
      <c r="M1101" s="1" t="s">
        <v>6392</v>
      </c>
      <c r="N1101" s="1" t="s">
        <v>13</v>
      </c>
      <c r="O1101" s="1" t="s">
        <v>6393</v>
      </c>
    </row>
    <row r="1102" spans="1:15" x14ac:dyDescent="0.4">
      <c r="A1102" s="1" t="s">
        <v>6395</v>
      </c>
      <c r="B1102" s="1" t="s">
        <v>6377</v>
      </c>
      <c r="C1102" s="1" t="s">
        <v>6398</v>
      </c>
      <c r="D1102" s="1" t="s">
        <v>6399</v>
      </c>
      <c r="E1102" s="1" t="s">
        <v>8028</v>
      </c>
      <c r="F1102" s="1" t="s">
        <v>17</v>
      </c>
      <c r="G1102" s="4" t="str">
        <f>"08753-4298"</f>
        <v>08753-4298</v>
      </c>
      <c r="H1102" s="1">
        <v>0</v>
      </c>
      <c r="I1102" s="1">
        <v>0</v>
      </c>
      <c r="J1102" s="1">
        <v>0</v>
      </c>
      <c r="K1102" s="1">
        <v>0</v>
      </c>
      <c r="L1102" s="1" t="s">
        <v>800</v>
      </c>
      <c r="M1102" s="1" t="s">
        <v>6396</v>
      </c>
      <c r="N1102" s="1" t="s">
        <v>13</v>
      </c>
      <c r="O1102" s="1" t="s">
        <v>6397</v>
      </c>
    </row>
    <row r="1103" spans="1:15" x14ac:dyDescent="0.4">
      <c r="A1103" s="1" t="s">
        <v>6400</v>
      </c>
      <c r="B1103" s="1" t="s">
        <v>6377</v>
      </c>
      <c r="C1103" s="1" t="s">
        <v>6403</v>
      </c>
      <c r="D1103" s="1" t="s">
        <v>6404</v>
      </c>
      <c r="E1103" s="1" t="s">
        <v>8028</v>
      </c>
      <c r="F1103" s="1" t="s">
        <v>17</v>
      </c>
      <c r="G1103" s="4" t="str">
        <f>"08758-8822"</f>
        <v>08758-8822</v>
      </c>
      <c r="H1103" s="1">
        <v>0</v>
      </c>
      <c r="I1103" s="1">
        <v>0</v>
      </c>
      <c r="J1103" s="1">
        <v>0</v>
      </c>
      <c r="K1103" s="1">
        <v>0</v>
      </c>
      <c r="L1103" s="1" t="s">
        <v>40</v>
      </c>
      <c r="M1103" s="1" t="s">
        <v>6401</v>
      </c>
      <c r="N1103" s="1" t="s">
        <v>13</v>
      </c>
      <c r="O1103" s="1" t="s">
        <v>6402</v>
      </c>
    </row>
    <row r="1104" spans="1:15" x14ac:dyDescent="0.4">
      <c r="A1104" s="1" t="s">
        <v>6446</v>
      </c>
      <c r="B1104" s="1" t="s">
        <v>6438</v>
      </c>
      <c r="C1104" s="1" t="s">
        <v>6449</v>
      </c>
      <c r="D1104" s="1" t="s">
        <v>6441</v>
      </c>
      <c r="E1104" s="1" t="s">
        <v>8028</v>
      </c>
      <c r="F1104" s="1" t="s">
        <v>17</v>
      </c>
      <c r="G1104" s="4" t="str">
        <f>"08742"</f>
        <v>08742</v>
      </c>
      <c r="H1104" s="1">
        <v>4</v>
      </c>
      <c r="I1104" s="1">
        <v>0.8</v>
      </c>
      <c r="J1104" s="1">
        <v>0</v>
      </c>
      <c r="K1104" s="1">
        <v>76</v>
      </c>
      <c r="L1104" s="1" t="s">
        <v>1578</v>
      </c>
      <c r="M1104" s="1" t="s">
        <v>6447</v>
      </c>
      <c r="N1104" s="1" t="s">
        <v>13</v>
      </c>
      <c r="O1104" s="1" t="s">
        <v>6448</v>
      </c>
    </row>
    <row r="1105" spans="1:15" x14ac:dyDescent="0.4">
      <c r="A1105" s="1" t="s">
        <v>5654</v>
      </c>
      <c r="B1105" s="1" t="s">
        <v>5652</v>
      </c>
      <c r="C1105" s="1" t="s">
        <v>5657</v>
      </c>
      <c r="D1105" s="1" t="s">
        <v>5653</v>
      </c>
      <c r="E1105" s="1" t="s">
        <v>8027</v>
      </c>
      <c r="F1105" s="1" t="s">
        <v>17</v>
      </c>
      <c r="G1105" s="4" t="str">
        <f>"07755-1098"</f>
        <v>07755-1098</v>
      </c>
      <c r="H1105" s="1">
        <v>0</v>
      </c>
      <c r="I1105" s="1">
        <v>0</v>
      </c>
      <c r="J1105" s="1">
        <v>0</v>
      </c>
      <c r="K1105" s="1">
        <v>0</v>
      </c>
      <c r="L1105" s="1" t="s">
        <v>2905</v>
      </c>
      <c r="M1105" s="1" t="s">
        <v>5655</v>
      </c>
      <c r="N1105" s="1" t="s">
        <v>13</v>
      </c>
      <c r="O1105" s="1" t="s">
        <v>5656</v>
      </c>
    </row>
    <row r="1106" spans="1:15" x14ac:dyDescent="0.4">
      <c r="A1106" s="1" t="s">
        <v>6382</v>
      </c>
      <c r="B1106" s="1" t="s">
        <v>6377</v>
      </c>
      <c r="C1106" s="1" t="s">
        <v>6386</v>
      </c>
      <c r="D1106" s="1" t="s">
        <v>6387</v>
      </c>
      <c r="E1106" s="1" t="s">
        <v>8028</v>
      </c>
      <c r="F1106" s="1" t="s">
        <v>17</v>
      </c>
      <c r="G1106" s="4" t="str">
        <f>"08754"</f>
        <v>08754</v>
      </c>
      <c r="H1106" s="1">
        <v>0</v>
      </c>
      <c r="I1106" s="1">
        <v>0</v>
      </c>
      <c r="J1106" s="1">
        <v>0</v>
      </c>
      <c r="K1106" s="1">
        <v>0</v>
      </c>
      <c r="L1106" s="1" t="s">
        <v>6383</v>
      </c>
      <c r="M1106" s="1" t="s">
        <v>6384</v>
      </c>
      <c r="N1106" s="1" t="s">
        <v>13</v>
      </c>
      <c r="O1106" s="1" t="s">
        <v>6385</v>
      </c>
    </row>
    <row r="1107" spans="1:15" x14ac:dyDescent="0.4">
      <c r="A1107" s="1" t="s">
        <v>7570</v>
      </c>
      <c r="B1107" s="1" t="s">
        <v>7552</v>
      </c>
      <c r="C1107" s="1" t="s">
        <v>7573</v>
      </c>
      <c r="D1107" s="1" t="s">
        <v>7553</v>
      </c>
      <c r="E1107" s="1" t="s">
        <v>7833</v>
      </c>
      <c r="F1107" s="1" t="s">
        <v>17</v>
      </c>
      <c r="G1107" s="4" t="str">
        <f>"07205-1206"</f>
        <v>07205-1206</v>
      </c>
      <c r="H1107" s="1">
        <v>0</v>
      </c>
      <c r="I1107" s="1">
        <v>0</v>
      </c>
      <c r="J1107" s="1">
        <v>0</v>
      </c>
      <c r="K1107" s="1">
        <v>0</v>
      </c>
      <c r="L1107" s="1" t="s">
        <v>7571</v>
      </c>
      <c r="M1107" s="1" t="s">
        <v>315</v>
      </c>
      <c r="N1107" s="1" t="s">
        <v>13</v>
      </c>
      <c r="O1107" s="1" t="s">
        <v>7572</v>
      </c>
    </row>
    <row r="1108" spans="1:15" x14ac:dyDescent="0.4">
      <c r="A1108" s="1" t="s">
        <v>4836</v>
      </c>
      <c r="B1108" s="1" t="s">
        <v>4808</v>
      </c>
      <c r="C1108" s="1" t="s">
        <v>4839</v>
      </c>
      <c r="D1108" s="1" t="s">
        <v>4840</v>
      </c>
      <c r="E1108" s="1" t="s">
        <v>4704</v>
      </c>
      <c r="F1108" s="1" t="s">
        <v>17</v>
      </c>
      <c r="G1108" s="4" t="str">
        <f>"07747"</f>
        <v>07747</v>
      </c>
      <c r="H1108" s="1">
        <v>0</v>
      </c>
      <c r="I1108" s="1">
        <v>0</v>
      </c>
      <c r="J1108" s="1">
        <v>0</v>
      </c>
      <c r="K1108" s="1">
        <v>0</v>
      </c>
      <c r="L1108" s="1" t="s">
        <v>162</v>
      </c>
      <c r="M1108" s="1" t="s">
        <v>4837</v>
      </c>
      <c r="N1108" s="1" t="s">
        <v>13</v>
      </c>
      <c r="O1108" s="1" t="s">
        <v>4838</v>
      </c>
    </row>
    <row r="1109" spans="1:15" x14ac:dyDescent="0.4">
      <c r="A1109" s="1" t="s">
        <v>5681</v>
      </c>
      <c r="B1109" s="1" t="s">
        <v>5672</v>
      </c>
      <c r="C1109" s="1" t="s">
        <v>5683</v>
      </c>
      <c r="D1109" s="1" t="s">
        <v>5684</v>
      </c>
      <c r="E1109" s="1" t="s">
        <v>8027</v>
      </c>
      <c r="F1109" s="1" t="s">
        <v>17</v>
      </c>
      <c r="G1109" s="4" t="str">
        <f>"08750-1199"</f>
        <v>08750-1199</v>
      </c>
      <c r="H1109" s="1">
        <v>0</v>
      </c>
      <c r="I1109" s="1">
        <v>0</v>
      </c>
      <c r="J1109" s="1">
        <v>0</v>
      </c>
      <c r="K1109" s="1">
        <v>73</v>
      </c>
      <c r="L1109" s="1" t="s">
        <v>407</v>
      </c>
      <c r="M1109" s="1" t="s">
        <v>1145</v>
      </c>
      <c r="N1109" s="1" t="s">
        <v>13</v>
      </c>
      <c r="O1109" s="1" t="s">
        <v>5682</v>
      </c>
    </row>
    <row r="1110" spans="1:15" x14ac:dyDescent="0.4">
      <c r="A1110" s="1" t="s">
        <v>4170</v>
      </c>
      <c r="B1110" s="1" t="s">
        <v>4169</v>
      </c>
      <c r="C1110" s="1" t="s">
        <v>4172</v>
      </c>
      <c r="D1110" s="1" t="s">
        <v>4079</v>
      </c>
      <c r="E1110" s="1" t="s">
        <v>8025</v>
      </c>
      <c r="F1110" s="1" t="s">
        <v>17</v>
      </c>
      <c r="G1110" s="4" t="str">
        <f>"07830"</f>
        <v>07830</v>
      </c>
      <c r="H1110" s="1">
        <v>0</v>
      </c>
      <c r="I1110" s="1">
        <v>0</v>
      </c>
      <c r="J1110" s="1">
        <v>0</v>
      </c>
      <c r="K1110" s="1">
        <v>0</v>
      </c>
      <c r="L1110" s="1" t="s">
        <v>158</v>
      </c>
      <c r="M1110" s="1" t="s">
        <v>1081</v>
      </c>
      <c r="N1110" s="1" t="s">
        <v>13</v>
      </c>
      <c r="O1110" s="1" t="s">
        <v>4171</v>
      </c>
    </row>
    <row r="1111" spans="1:15" x14ac:dyDescent="0.4">
      <c r="A1111" s="1" t="s">
        <v>7000</v>
      </c>
      <c r="B1111" s="1" t="s">
        <v>6991</v>
      </c>
      <c r="C1111" s="1" t="s">
        <v>7004</v>
      </c>
      <c r="D1111" s="1" t="s">
        <v>6996</v>
      </c>
      <c r="E1111" s="1" t="s">
        <v>8029</v>
      </c>
      <c r="F1111" s="1" t="s">
        <v>17</v>
      </c>
      <c r="G1111" s="4" t="str">
        <f>"08318-8901"</f>
        <v>08318-8901</v>
      </c>
      <c r="H1111" s="1">
        <v>0</v>
      </c>
      <c r="I1111" s="1">
        <v>0</v>
      </c>
      <c r="J1111" s="1">
        <v>0</v>
      </c>
      <c r="K1111" s="1">
        <v>0</v>
      </c>
      <c r="L1111" s="1" t="s">
        <v>7001</v>
      </c>
      <c r="M1111" s="1" t="s">
        <v>7002</v>
      </c>
      <c r="N1111" s="1" t="s">
        <v>13</v>
      </c>
      <c r="O1111" s="1" t="s">
        <v>7003</v>
      </c>
    </row>
    <row r="1112" spans="1:15" x14ac:dyDescent="0.4">
      <c r="A1112" s="1" t="s">
        <v>939</v>
      </c>
      <c r="B1112" s="1" t="s">
        <v>938</v>
      </c>
      <c r="C1112" s="1" t="s">
        <v>942</v>
      </c>
      <c r="D1112" s="1" t="s">
        <v>943</v>
      </c>
      <c r="E1112" s="1" t="s">
        <v>8018</v>
      </c>
      <c r="F1112" s="1" t="s">
        <v>17</v>
      </c>
      <c r="G1112" s="4" t="str">
        <f>"07649"</f>
        <v>07649</v>
      </c>
      <c r="H1112" s="1">
        <v>0</v>
      </c>
      <c r="I1112" s="1">
        <v>0</v>
      </c>
      <c r="J1112" s="1">
        <v>0</v>
      </c>
      <c r="K1112" s="1">
        <v>120</v>
      </c>
      <c r="L1112" s="1" t="s">
        <v>272</v>
      </c>
      <c r="M1112" s="1" t="s">
        <v>940</v>
      </c>
      <c r="N1112" s="1" t="s">
        <v>13</v>
      </c>
      <c r="O1112" s="1" t="s">
        <v>941</v>
      </c>
    </row>
    <row r="1113" spans="1:15" x14ac:dyDescent="0.4">
      <c r="A1113" s="1" t="s">
        <v>7468</v>
      </c>
      <c r="B1113" s="1" t="s">
        <v>7446</v>
      </c>
      <c r="C1113" s="1" t="s">
        <v>7471</v>
      </c>
      <c r="D1113" s="1" t="s">
        <v>7452</v>
      </c>
      <c r="E1113" s="1" t="s">
        <v>7833</v>
      </c>
      <c r="F1113" s="1" t="s">
        <v>17</v>
      </c>
      <c r="G1113" s="4" t="str">
        <f>"07016-2099"</f>
        <v>07016-2099</v>
      </c>
      <c r="H1113" s="1">
        <v>0</v>
      </c>
      <c r="I1113" s="1">
        <v>0</v>
      </c>
      <c r="J1113" s="1">
        <v>0</v>
      </c>
      <c r="K1113" s="1">
        <v>0</v>
      </c>
      <c r="L1113" s="1" t="s">
        <v>7469</v>
      </c>
      <c r="M1113" s="1" t="s">
        <v>591</v>
      </c>
      <c r="N1113" s="1" t="s">
        <v>13</v>
      </c>
      <c r="O1113" s="1" t="s">
        <v>7470</v>
      </c>
    </row>
    <row r="1114" spans="1:15" x14ac:dyDescent="0.4">
      <c r="A1114" s="1" t="s">
        <v>3406</v>
      </c>
      <c r="B1114" s="1" t="s">
        <v>3391</v>
      </c>
      <c r="C1114" s="1" t="s">
        <v>3408</v>
      </c>
      <c r="D1114" s="1" t="s">
        <v>3400</v>
      </c>
      <c r="E1114" s="1" t="s">
        <v>8024</v>
      </c>
      <c r="F1114" s="1" t="s">
        <v>17</v>
      </c>
      <c r="G1114" s="4" t="str">
        <f>"07050-2208"</f>
        <v>07050-2208</v>
      </c>
      <c r="H1114" s="1">
        <v>0</v>
      </c>
      <c r="I1114" s="1">
        <v>0</v>
      </c>
      <c r="J1114" s="1">
        <v>0</v>
      </c>
      <c r="K1114" s="1">
        <v>0</v>
      </c>
      <c r="L1114" s="1" t="s">
        <v>30</v>
      </c>
      <c r="M1114" s="1" t="s">
        <v>2951</v>
      </c>
      <c r="N1114" s="1" t="s">
        <v>13</v>
      </c>
      <c r="O1114" s="1" t="s">
        <v>3407</v>
      </c>
    </row>
    <row r="1115" spans="1:15" x14ac:dyDescent="0.4">
      <c r="A1115" s="1" t="s">
        <v>3409</v>
      </c>
      <c r="B1115" s="1" t="s">
        <v>3391</v>
      </c>
      <c r="C1115" s="1" t="s">
        <v>3412</v>
      </c>
      <c r="D1115" s="1" t="s">
        <v>3400</v>
      </c>
      <c r="E1115" s="1" t="s">
        <v>8024</v>
      </c>
      <c r="F1115" s="1" t="s">
        <v>17</v>
      </c>
      <c r="G1115" s="4" t="str">
        <f>"07050-2420"</f>
        <v>07050-2420</v>
      </c>
      <c r="H1115" s="1">
        <v>0</v>
      </c>
      <c r="I1115" s="1">
        <v>0</v>
      </c>
      <c r="J1115" s="1">
        <v>0</v>
      </c>
      <c r="K1115" s="1">
        <v>0</v>
      </c>
      <c r="L1115" s="1" t="s">
        <v>2083</v>
      </c>
      <c r="M1115" s="1" t="s">
        <v>3410</v>
      </c>
      <c r="N1115" s="1" t="s">
        <v>13</v>
      </c>
      <c r="O1115" s="1" t="s">
        <v>3411</v>
      </c>
    </row>
    <row r="1116" spans="1:15" x14ac:dyDescent="0.4">
      <c r="A1116" s="1" t="s">
        <v>1073</v>
      </c>
      <c r="B1116" s="1" t="s">
        <v>1058</v>
      </c>
      <c r="C1116" s="1" t="s">
        <v>1076</v>
      </c>
      <c r="D1116" s="1" t="s">
        <v>1063</v>
      </c>
      <c r="E1116" s="1" t="s">
        <v>8018</v>
      </c>
      <c r="F1116" s="1" t="s">
        <v>17</v>
      </c>
      <c r="G1116" s="4" t="str">
        <f>"07451"</f>
        <v>07451</v>
      </c>
      <c r="H1116" s="1">
        <v>0</v>
      </c>
      <c r="I1116" s="1">
        <v>0</v>
      </c>
      <c r="J1116" s="1">
        <v>0</v>
      </c>
      <c r="K1116" s="1">
        <v>46</v>
      </c>
      <c r="L1116" s="1" t="s">
        <v>20</v>
      </c>
      <c r="M1116" s="1" t="s">
        <v>1074</v>
      </c>
      <c r="N1116" s="1" t="s">
        <v>13</v>
      </c>
      <c r="O1116" s="1" t="s">
        <v>1075</v>
      </c>
    </row>
    <row r="1117" spans="1:15" x14ac:dyDescent="0.4">
      <c r="A1117" s="1" t="s">
        <v>3762</v>
      </c>
      <c r="B1117" s="1" t="s">
        <v>3741</v>
      </c>
      <c r="C1117" s="1" t="s">
        <v>3764</v>
      </c>
      <c r="D1117" s="1" t="s">
        <v>3580</v>
      </c>
      <c r="E1117" s="1" t="s">
        <v>8020</v>
      </c>
      <c r="F1117" s="1" t="s">
        <v>17</v>
      </c>
      <c r="G1117" s="4" t="str">
        <f>"08080-2118"</f>
        <v>08080-2118</v>
      </c>
      <c r="H1117" s="1">
        <v>0</v>
      </c>
      <c r="I1117" s="1">
        <v>0</v>
      </c>
      <c r="J1117" s="1">
        <v>0</v>
      </c>
      <c r="K1117" s="1">
        <v>0</v>
      </c>
      <c r="L1117" s="1" t="s">
        <v>607</v>
      </c>
      <c r="M1117" s="1" t="s">
        <v>3413</v>
      </c>
      <c r="N1117" s="1" t="s">
        <v>13</v>
      </c>
      <c r="O1117" s="1" t="s">
        <v>3763</v>
      </c>
    </row>
    <row r="1118" spans="1:15" x14ac:dyDescent="0.4">
      <c r="A1118" s="1" t="s">
        <v>2268</v>
      </c>
      <c r="B1118" s="1" t="s">
        <v>2262</v>
      </c>
      <c r="C1118" s="1" t="s">
        <v>2271</v>
      </c>
      <c r="D1118" s="1" t="s">
        <v>2035</v>
      </c>
      <c r="E1118" s="1" t="s">
        <v>1909</v>
      </c>
      <c r="F1118" s="1" t="s">
        <v>17</v>
      </c>
      <c r="G1118" s="4" t="str">
        <f>"08043-9545"</f>
        <v>08043-9545</v>
      </c>
      <c r="H1118" s="1">
        <v>0</v>
      </c>
      <c r="I1118" s="1">
        <v>0</v>
      </c>
      <c r="J1118" s="1">
        <v>0</v>
      </c>
      <c r="K1118" s="1">
        <v>74</v>
      </c>
      <c r="L1118" s="1" t="s">
        <v>306</v>
      </c>
      <c r="M1118" s="1" t="s">
        <v>2269</v>
      </c>
      <c r="N1118" s="1" t="s">
        <v>13</v>
      </c>
      <c r="O1118" s="1" t="s">
        <v>2270</v>
      </c>
    </row>
    <row r="1119" spans="1:15" x14ac:dyDescent="0.4">
      <c r="A1119" s="1" t="s">
        <v>6271</v>
      </c>
      <c r="B1119" s="1" t="s">
        <v>6241</v>
      </c>
      <c r="C1119" s="1" t="s">
        <v>6275</v>
      </c>
      <c r="D1119" s="1" t="s">
        <v>6251</v>
      </c>
      <c r="E1119" s="1" t="s">
        <v>8028</v>
      </c>
      <c r="F1119" s="1" t="s">
        <v>17</v>
      </c>
      <c r="G1119" s="4" t="str">
        <f>"08723-6312"</f>
        <v>08723-6312</v>
      </c>
      <c r="H1119" s="1">
        <v>0</v>
      </c>
      <c r="I1119" s="1">
        <v>0</v>
      </c>
      <c r="J1119" s="1">
        <v>0</v>
      </c>
      <c r="K1119" s="1">
        <v>62</v>
      </c>
      <c r="L1119" s="1" t="s">
        <v>6272</v>
      </c>
      <c r="M1119" s="1" t="s">
        <v>6273</v>
      </c>
      <c r="N1119" s="1" t="s">
        <v>13</v>
      </c>
      <c r="O1119" s="1" t="s">
        <v>6274</v>
      </c>
    </row>
    <row r="1120" spans="1:15" x14ac:dyDescent="0.4">
      <c r="A1120" s="1" t="s">
        <v>2223</v>
      </c>
      <c r="B1120" s="1" t="s">
        <v>2221</v>
      </c>
      <c r="C1120" s="1" t="s">
        <v>2226</v>
      </c>
      <c r="D1120" s="1" t="s">
        <v>2222</v>
      </c>
      <c r="E1120" s="1" t="s">
        <v>1909</v>
      </c>
      <c r="F1120" s="1" t="s">
        <v>17</v>
      </c>
      <c r="G1120" s="4" t="str">
        <f>"08021"</f>
        <v>08021</v>
      </c>
      <c r="H1120" s="1">
        <v>0</v>
      </c>
      <c r="I1120" s="1">
        <v>0</v>
      </c>
      <c r="J1120" s="1">
        <v>0</v>
      </c>
      <c r="K1120" s="1">
        <v>0</v>
      </c>
      <c r="L1120" s="1" t="s">
        <v>434</v>
      </c>
      <c r="M1120" s="1" t="s">
        <v>2224</v>
      </c>
      <c r="N1120" s="1" t="s">
        <v>13</v>
      </c>
      <c r="O1120" s="1" t="s">
        <v>2225</v>
      </c>
    </row>
    <row r="1121" spans="1:15" x14ac:dyDescent="0.4">
      <c r="A1121" s="1" t="s">
        <v>2663</v>
      </c>
      <c r="B1121" s="1" t="s">
        <v>2663</v>
      </c>
      <c r="C1121" s="1" t="s">
        <v>2666</v>
      </c>
      <c r="D1121" s="1" t="s">
        <v>2667</v>
      </c>
      <c r="E1121" s="1" t="s">
        <v>8022</v>
      </c>
      <c r="F1121" s="1" t="s">
        <v>17</v>
      </c>
      <c r="G1121" s="4" t="str">
        <f>"08610"</f>
        <v>08610</v>
      </c>
      <c r="H1121" s="1">
        <v>0</v>
      </c>
      <c r="I1121" s="1">
        <v>0</v>
      </c>
      <c r="J1121" s="1">
        <v>0</v>
      </c>
      <c r="K1121" s="1">
        <v>54</v>
      </c>
      <c r="L1121" s="1" t="s">
        <v>1124</v>
      </c>
      <c r="M1121" s="1" t="s">
        <v>2664</v>
      </c>
      <c r="N1121" s="1" t="s">
        <v>129</v>
      </c>
      <c r="O1121" s="1" t="s">
        <v>2665</v>
      </c>
    </row>
    <row r="1122" spans="1:15" x14ac:dyDescent="0.4">
      <c r="A1122" s="1" t="s">
        <v>6879</v>
      </c>
      <c r="B1122" s="1" t="s">
        <v>6857</v>
      </c>
      <c r="C1122" s="1" t="s">
        <v>6883</v>
      </c>
      <c r="D1122" s="1" t="s">
        <v>6682</v>
      </c>
      <c r="E1122" s="1" t="s">
        <v>2670</v>
      </c>
      <c r="F1122" s="1" t="s">
        <v>17</v>
      </c>
      <c r="G1122" s="4" t="str">
        <f>"07470-5652"</f>
        <v>07470-5652</v>
      </c>
      <c r="H1122" s="1">
        <v>0</v>
      </c>
      <c r="I1122" s="1">
        <v>0</v>
      </c>
      <c r="J1122" s="1">
        <v>0</v>
      </c>
      <c r="K1122" s="1">
        <v>62</v>
      </c>
      <c r="L1122" s="1" t="s">
        <v>6880</v>
      </c>
      <c r="M1122" s="1" t="s">
        <v>6881</v>
      </c>
      <c r="N1122" s="1" t="s">
        <v>13</v>
      </c>
      <c r="O1122" s="1" t="s">
        <v>6882</v>
      </c>
    </row>
    <row r="1123" spans="1:15" x14ac:dyDescent="0.4">
      <c r="A1123" s="1" t="s">
        <v>951</v>
      </c>
      <c r="B1123" s="1" t="s">
        <v>944</v>
      </c>
      <c r="C1123" s="1" t="s">
        <v>953</v>
      </c>
      <c r="D1123" s="1" t="s">
        <v>946</v>
      </c>
      <c r="E1123" s="1" t="s">
        <v>8018</v>
      </c>
      <c r="F1123" s="1" t="s">
        <v>17</v>
      </c>
      <c r="G1123" s="4" t="str">
        <f>"07650"</f>
        <v>07650</v>
      </c>
      <c r="H1123" s="1">
        <v>0</v>
      </c>
      <c r="I1123" s="1">
        <v>0</v>
      </c>
      <c r="J1123" s="1">
        <v>0</v>
      </c>
      <c r="K1123" s="1">
        <v>0</v>
      </c>
      <c r="L1123" s="1" t="s">
        <v>836</v>
      </c>
      <c r="M1123" s="1" t="s">
        <v>303</v>
      </c>
      <c r="N1123" s="1" t="s">
        <v>13</v>
      </c>
      <c r="O1123" s="1" t="s">
        <v>952</v>
      </c>
    </row>
    <row r="1124" spans="1:15" x14ac:dyDescent="0.4">
      <c r="A1124" s="1" t="s">
        <v>1661</v>
      </c>
      <c r="B1124" s="1" t="s">
        <v>1654</v>
      </c>
      <c r="C1124" s="1" t="s">
        <v>1664</v>
      </c>
      <c r="D1124" s="1" t="s">
        <v>1659</v>
      </c>
      <c r="E1124" s="1" t="s">
        <v>8019</v>
      </c>
      <c r="F1124" s="1" t="s">
        <v>17</v>
      </c>
      <c r="G1124" s="4" t="str">
        <f>"08065"</f>
        <v>08065</v>
      </c>
      <c r="H1124" s="1">
        <v>0</v>
      </c>
      <c r="I1124" s="1">
        <v>0</v>
      </c>
      <c r="J1124" s="1">
        <v>0</v>
      </c>
      <c r="K1124" s="1">
        <v>0</v>
      </c>
      <c r="L1124" s="1" t="s">
        <v>146</v>
      </c>
      <c r="M1124" s="1" t="s">
        <v>1662</v>
      </c>
      <c r="N1124" s="1" t="s">
        <v>13</v>
      </c>
      <c r="O1124" s="1" t="s">
        <v>1663</v>
      </c>
    </row>
    <row r="1125" spans="1:15" x14ac:dyDescent="0.4">
      <c r="A1125" s="1" t="s">
        <v>1665</v>
      </c>
      <c r="B1125" s="1" t="s">
        <v>1654</v>
      </c>
      <c r="C1125" s="1" t="s">
        <v>1664</v>
      </c>
      <c r="D1125" s="1" t="s">
        <v>1660</v>
      </c>
      <c r="E1125" s="1" t="s">
        <v>8019</v>
      </c>
      <c r="F1125" s="1" t="s">
        <v>17</v>
      </c>
      <c r="G1125" s="4" t="str">
        <f>"08065"</f>
        <v>08065</v>
      </c>
      <c r="H1125" s="1">
        <v>0</v>
      </c>
      <c r="I1125" s="1">
        <v>0</v>
      </c>
      <c r="J1125" s="1">
        <v>0</v>
      </c>
      <c r="K1125" s="1">
        <v>0</v>
      </c>
      <c r="L1125" s="1" t="s">
        <v>146</v>
      </c>
      <c r="M1125" s="1" t="s">
        <v>1662</v>
      </c>
      <c r="N1125" s="1" t="s">
        <v>13</v>
      </c>
      <c r="O1125" s="1" t="s">
        <v>1663</v>
      </c>
    </row>
    <row r="1126" spans="1:15" x14ac:dyDescent="0.4">
      <c r="A1126" s="1" t="s">
        <v>6931</v>
      </c>
      <c r="B1126" s="1" t="s">
        <v>6917</v>
      </c>
      <c r="C1126" s="1" t="s">
        <v>6933</v>
      </c>
      <c r="D1126" s="1" t="s">
        <v>5819</v>
      </c>
      <c r="E1126" s="1" t="s">
        <v>2670</v>
      </c>
      <c r="F1126" s="1" t="s">
        <v>17</v>
      </c>
      <c r="G1126" s="4" t="str">
        <f>"07438-8931"</f>
        <v>07438-8931</v>
      </c>
      <c r="H1126" s="1">
        <v>0</v>
      </c>
      <c r="I1126" s="1">
        <v>0</v>
      </c>
      <c r="J1126" s="1">
        <v>0</v>
      </c>
      <c r="K1126" s="1">
        <v>44</v>
      </c>
      <c r="L1126" s="1" t="s">
        <v>38</v>
      </c>
      <c r="M1126" s="1" t="s">
        <v>765</v>
      </c>
      <c r="N1126" s="1" t="s">
        <v>13</v>
      </c>
      <c r="O1126" s="1" t="s">
        <v>6932</v>
      </c>
    </row>
    <row r="1127" spans="1:15" x14ac:dyDescent="0.4">
      <c r="A1127" s="1" t="s">
        <v>986</v>
      </c>
      <c r="B1127" s="1" t="s">
        <v>979</v>
      </c>
      <c r="C1127" s="1" t="s">
        <v>990</v>
      </c>
      <c r="D1127" s="1" t="s">
        <v>984</v>
      </c>
      <c r="E1127" s="1" t="s">
        <v>8018</v>
      </c>
      <c r="F1127" s="1" t="s">
        <v>17</v>
      </c>
      <c r="G1127" s="4" t="str">
        <f>"07656-1240"</f>
        <v>07656-1240</v>
      </c>
      <c r="H1127" s="1">
        <v>0</v>
      </c>
      <c r="I1127" s="1">
        <v>0</v>
      </c>
      <c r="J1127" s="1">
        <v>0</v>
      </c>
      <c r="K1127" s="1">
        <v>0</v>
      </c>
      <c r="L1127" s="1" t="s">
        <v>987</v>
      </c>
      <c r="M1127" s="1" t="s">
        <v>988</v>
      </c>
      <c r="N1127" s="1" t="s">
        <v>13</v>
      </c>
      <c r="O1127" s="1" t="s">
        <v>989</v>
      </c>
    </row>
    <row r="1128" spans="1:15" x14ac:dyDescent="0.4">
      <c r="A1128" s="1" t="s">
        <v>4688</v>
      </c>
      <c r="B1128" s="1" t="s">
        <v>4684</v>
      </c>
      <c r="C1128" s="1" t="s">
        <v>4691</v>
      </c>
      <c r="D1128" s="1" t="s">
        <v>2416</v>
      </c>
      <c r="E1128" s="1" t="s">
        <v>4704</v>
      </c>
      <c r="F1128" s="1" t="s">
        <v>17</v>
      </c>
      <c r="G1128" s="4" t="str">
        <f>"08846"</f>
        <v>08846</v>
      </c>
      <c r="H1128" s="1">
        <v>0</v>
      </c>
      <c r="I1128" s="1">
        <v>0</v>
      </c>
      <c r="J1128" s="1">
        <v>0</v>
      </c>
      <c r="K1128" s="1">
        <v>42</v>
      </c>
      <c r="L1128" s="1" t="s">
        <v>30</v>
      </c>
      <c r="M1128" s="1" t="s">
        <v>4689</v>
      </c>
      <c r="N1128" s="1" t="s">
        <v>13</v>
      </c>
      <c r="O1128" s="1" t="s">
        <v>4690</v>
      </c>
    </row>
    <row r="1129" spans="1:15" x14ac:dyDescent="0.4">
      <c r="A1129" s="1" t="s">
        <v>2253</v>
      </c>
      <c r="B1129" s="1" t="s">
        <v>2252</v>
      </c>
      <c r="C1129" s="1" t="s">
        <v>2256</v>
      </c>
      <c r="D1129" s="1" t="s">
        <v>2257</v>
      </c>
      <c r="E1129" s="1" t="s">
        <v>1909</v>
      </c>
      <c r="F1129" s="1" t="s">
        <v>17</v>
      </c>
      <c r="G1129" s="4" t="str">
        <f>"08084"</f>
        <v>08084</v>
      </c>
      <c r="H1129" s="1">
        <v>1</v>
      </c>
      <c r="I1129" s="1">
        <v>0.3</v>
      </c>
      <c r="J1129" s="1">
        <v>0</v>
      </c>
      <c r="K1129" s="1">
        <v>59</v>
      </c>
      <c r="L1129" s="1" t="s">
        <v>50</v>
      </c>
      <c r="M1129" s="1" t="s">
        <v>2254</v>
      </c>
      <c r="N1129" s="1" t="s">
        <v>13</v>
      </c>
      <c r="O1129" s="1" t="s">
        <v>2255</v>
      </c>
    </row>
    <row r="1130" spans="1:15" x14ac:dyDescent="0.4">
      <c r="A1130" s="1" t="s">
        <v>2253</v>
      </c>
      <c r="B1130" s="1" t="s">
        <v>3794</v>
      </c>
      <c r="C1130" s="1" t="s">
        <v>3797</v>
      </c>
      <c r="D1130" s="1" t="s">
        <v>3601</v>
      </c>
      <c r="E1130" s="1" t="s">
        <v>1909</v>
      </c>
      <c r="F1130" s="1" t="s">
        <v>17</v>
      </c>
      <c r="G1130" s="4" t="str">
        <f>"08093"</f>
        <v>08093</v>
      </c>
      <c r="H1130" s="1">
        <v>1</v>
      </c>
      <c r="I1130" s="1">
        <v>0.3</v>
      </c>
      <c r="J1130" s="1">
        <v>0</v>
      </c>
      <c r="K1130" s="1">
        <v>59</v>
      </c>
      <c r="L1130" s="1" t="s">
        <v>50</v>
      </c>
      <c r="M1130" s="1" t="s">
        <v>3795</v>
      </c>
      <c r="N1130" s="1" t="s">
        <v>13</v>
      </c>
      <c r="O1130" s="1" t="s">
        <v>3796</v>
      </c>
    </row>
    <row r="1131" spans="1:15" x14ac:dyDescent="0.4">
      <c r="A1131" s="1" t="s">
        <v>6062</v>
      </c>
      <c r="B1131" s="1" t="s">
        <v>6029</v>
      </c>
      <c r="C1131" s="1" t="s">
        <v>6065</v>
      </c>
      <c r="D1131" s="1" t="s">
        <v>6033</v>
      </c>
      <c r="E1131" s="1" t="s">
        <v>1503</v>
      </c>
      <c r="F1131" s="1" t="s">
        <v>17</v>
      </c>
      <c r="G1131" s="4" t="str">
        <f>"07054"</f>
        <v>07054</v>
      </c>
      <c r="H1131" s="1">
        <v>0</v>
      </c>
      <c r="I1131" s="1">
        <v>0</v>
      </c>
      <c r="J1131" s="1">
        <v>0</v>
      </c>
      <c r="K1131" s="1">
        <v>0</v>
      </c>
      <c r="L1131" s="1" t="s">
        <v>197</v>
      </c>
      <c r="M1131" s="1" t="s">
        <v>6063</v>
      </c>
      <c r="N1131" s="1" t="s">
        <v>13</v>
      </c>
      <c r="O1131" s="1" t="s">
        <v>6064</v>
      </c>
    </row>
    <row r="1132" spans="1:15" x14ac:dyDescent="0.4">
      <c r="A1132" s="1" t="s">
        <v>6066</v>
      </c>
      <c r="B1132" s="1" t="s">
        <v>6029</v>
      </c>
      <c r="C1132" s="1" t="s">
        <v>6068</v>
      </c>
      <c r="D1132" s="1" t="s">
        <v>6051</v>
      </c>
      <c r="E1132" s="1" t="s">
        <v>1503</v>
      </c>
      <c r="F1132" s="1" t="s">
        <v>17</v>
      </c>
      <c r="G1132" s="4" t="str">
        <f>"07950"</f>
        <v>07950</v>
      </c>
      <c r="H1132" s="1">
        <v>0</v>
      </c>
      <c r="I1132" s="1">
        <v>0</v>
      </c>
      <c r="J1132" s="1">
        <v>0</v>
      </c>
      <c r="K1132" s="1">
        <v>0</v>
      </c>
      <c r="L1132" s="1" t="s">
        <v>1408</v>
      </c>
      <c r="M1132" s="1" t="s">
        <v>355</v>
      </c>
      <c r="N1132" s="1" t="s">
        <v>13</v>
      </c>
      <c r="O1132" s="1" t="s">
        <v>6067</v>
      </c>
    </row>
    <row r="1133" spans="1:15" x14ac:dyDescent="0.4">
      <c r="A1133" s="1" t="s">
        <v>996</v>
      </c>
      <c r="B1133" s="1" t="s">
        <v>995</v>
      </c>
      <c r="C1133" s="1" t="s">
        <v>1000</v>
      </c>
      <c r="D1133" s="1" t="s">
        <v>852</v>
      </c>
      <c r="E1133" s="1" t="s">
        <v>8018</v>
      </c>
      <c r="F1133" s="1" t="s">
        <v>17</v>
      </c>
      <c r="G1133" s="4" t="str">
        <f>"07645"</f>
        <v>07645</v>
      </c>
      <c r="H1133" s="1">
        <v>0</v>
      </c>
      <c r="I1133" s="1">
        <v>0</v>
      </c>
      <c r="J1133" s="1">
        <v>0</v>
      </c>
      <c r="K1133" s="1">
        <v>0</v>
      </c>
      <c r="L1133" s="1" t="s">
        <v>997</v>
      </c>
      <c r="M1133" s="1" t="s">
        <v>998</v>
      </c>
      <c r="N1133" s="1" t="s">
        <v>13</v>
      </c>
      <c r="O1133" s="1" t="s">
        <v>999</v>
      </c>
    </row>
    <row r="1134" spans="1:15" x14ac:dyDescent="0.4">
      <c r="A1134" s="1" t="s">
        <v>1001</v>
      </c>
      <c r="B1134" s="1" t="s">
        <v>995</v>
      </c>
      <c r="C1134" s="1" t="s">
        <v>1004</v>
      </c>
      <c r="D1134" s="1" t="s">
        <v>1005</v>
      </c>
      <c r="E1134" s="1" t="s">
        <v>8018</v>
      </c>
      <c r="F1134" s="1" t="s">
        <v>17</v>
      </c>
      <c r="G1134" s="4" t="str">
        <f>"07642"</f>
        <v>07642</v>
      </c>
      <c r="H1134" s="1">
        <v>0</v>
      </c>
      <c r="I1134" s="1">
        <v>0</v>
      </c>
      <c r="J1134" s="1">
        <v>0</v>
      </c>
      <c r="K1134" s="1">
        <v>0</v>
      </c>
      <c r="L1134" s="1" t="s">
        <v>434</v>
      </c>
      <c r="M1134" s="1" t="s">
        <v>1002</v>
      </c>
      <c r="N1134" s="1" t="s">
        <v>13</v>
      </c>
      <c r="O1134" s="1" t="s">
        <v>1003</v>
      </c>
    </row>
    <row r="1135" spans="1:15" x14ac:dyDescent="0.4">
      <c r="A1135" s="1" t="s">
        <v>6641</v>
      </c>
      <c r="B1135" s="1" t="s">
        <v>6622</v>
      </c>
      <c r="C1135" s="1" t="s">
        <v>6645</v>
      </c>
      <c r="D1135" s="1" t="s">
        <v>2670</v>
      </c>
      <c r="E1135" s="1" t="s">
        <v>2670</v>
      </c>
      <c r="F1135" s="1" t="s">
        <v>17</v>
      </c>
      <c r="G1135" s="4" t="str">
        <f>"07055"</f>
        <v>07055</v>
      </c>
      <c r="H1135" s="1">
        <v>0</v>
      </c>
      <c r="I1135" s="1">
        <v>0</v>
      </c>
      <c r="J1135" s="1">
        <v>0</v>
      </c>
      <c r="K1135" s="1">
        <v>0</v>
      </c>
      <c r="L1135" s="1" t="s">
        <v>6642</v>
      </c>
      <c r="M1135" s="1" t="s">
        <v>6643</v>
      </c>
      <c r="N1135" s="1" t="s">
        <v>13</v>
      </c>
      <c r="O1135" s="1" t="s">
        <v>6644</v>
      </c>
    </row>
    <row r="1136" spans="1:15" x14ac:dyDescent="0.4">
      <c r="A1136" s="1" t="s">
        <v>2668</v>
      </c>
      <c r="B1136" s="1" t="s">
        <v>2668</v>
      </c>
      <c r="C1136" s="1" t="s">
        <v>2669</v>
      </c>
      <c r="D1136" s="1" t="s">
        <v>2670</v>
      </c>
      <c r="E1136" s="1" t="s">
        <v>8022</v>
      </c>
      <c r="F1136" s="1" t="s">
        <v>17</v>
      </c>
      <c r="G1136" s="4" t="str">
        <f>"07410"</f>
        <v>07410</v>
      </c>
      <c r="H1136" s="1">
        <v>0</v>
      </c>
      <c r="I1136" s="1">
        <v>0</v>
      </c>
      <c r="J1136" s="1">
        <v>0</v>
      </c>
      <c r="K1136" s="1">
        <v>197</v>
      </c>
      <c r="L1136" s="1" t="s">
        <v>2446</v>
      </c>
      <c r="M1136" s="1" t="s">
        <v>2447</v>
      </c>
      <c r="N1136" s="1" t="s">
        <v>91</v>
      </c>
      <c r="O1136" s="1" t="s">
        <v>2448</v>
      </c>
    </row>
    <row r="1137" spans="1:15" x14ac:dyDescent="0.4">
      <c r="A1137" s="1" t="s">
        <v>6679</v>
      </c>
      <c r="B1137" s="1" t="s">
        <v>6678</v>
      </c>
      <c r="C1137" s="1" t="s">
        <v>6681</v>
      </c>
      <c r="D1137" s="1" t="s">
        <v>6682</v>
      </c>
      <c r="E1137" s="1" t="s">
        <v>2670</v>
      </c>
      <c r="F1137" s="1" t="s">
        <v>17</v>
      </c>
      <c r="G1137" s="4" t="str">
        <f>"07470-2210"</f>
        <v>07470-2210</v>
      </c>
      <c r="H1137" s="1">
        <v>0</v>
      </c>
      <c r="I1137" s="1">
        <v>0</v>
      </c>
      <c r="J1137" s="1">
        <v>0</v>
      </c>
      <c r="K1137" s="1">
        <v>0</v>
      </c>
      <c r="L1137" s="1" t="s">
        <v>3960</v>
      </c>
      <c r="M1137" s="1" t="s">
        <v>303</v>
      </c>
      <c r="N1137" s="1" t="s">
        <v>13</v>
      </c>
      <c r="O1137" s="1" t="s">
        <v>6680</v>
      </c>
    </row>
    <row r="1138" spans="1:15" x14ac:dyDescent="0.4">
      <c r="A1138" s="1" t="s">
        <v>6683</v>
      </c>
      <c r="B1138" s="1" t="s">
        <v>6678</v>
      </c>
      <c r="C1138" s="1" t="s">
        <v>6686</v>
      </c>
      <c r="D1138" s="1" t="s">
        <v>1880</v>
      </c>
      <c r="E1138" s="1" t="s">
        <v>2670</v>
      </c>
      <c r="F1138" s="1" t="s">
        <v>17</v>
      </c>
      <c r="G1138" s="4" t="str">
        <f>"07470-2210"</f>
        <v>07470-2210</v>
      </c>
      <c r="H1138" s="1">
        <v>0</v>
      </c>
      <c r="I1138" s="1">
        <v>0</v>
      </c>
      <c r="J1138" s="1">
        <v>0</v>
      </c>
      <c r="K1138" s="1">
        <v>0</v>
      </c>
      <c r="L1138" s="1" t="s">
        <v>6684</v>
      </c>
      <c r="M1138" s="1" t="s">
        <v>2159</v>
      </c>
      <c r="N1138" s="1" t="s">
        <v>13</v>
      </c>
      <c r="O1138" s="1" t="s">
        <v>6685</v>
      </c>
    </row>
    <row r="1139" spans="1:15" x14ac:dyDescent="0.4">
      <c r="A1139" s="1" t="s">
        <v>6674</v>
      </c>
      <c r="B1139" s="1" t="s">
        <v>6673</v>
      </c>
      <c r="C1139" s="1" t="s">
        <v>6677</v>
      </c>
      <c r="D1139" s="1" t="s">
        <v>6581</v>
      </c>
      <c r="E1139" s="1" t="s">
        <v>2670</v>
      </c>
      <c r="F1139" s="1" t="s">
        <v>17</v>
      </c>
      <c r="G1139" s="4" t="str">
        <f>"07508-1753"</f>
        <v>07508-1753</v>
      </c>
      <c r="H1139" s="1">
        <v>0</v>
      </c>
      <c r="I1139" s="1">
        <v>0</v>
      </c>
      <c r="J1139" s="1">
        <v>0</v>
      </c>
      <c r="K1139" s="1">
        <v>0</v>
      </c>
      <c r="L1139" s="1" t="s">
        <v>62</v>
      </c>
      <c r="M1139" s="1" t="s">
        <v>6675</v>
      </c>
      <c r="N1139" s="1" t="s">
        <v>13</v>
      </c>
      <c r="O1139" s="1" t="s">
        <v>6676</v>
      </c>
    </row>
    <row r="1140" spans="1:15" x14ac:dyDescent="0.4">
      <c r="A1140" s="1" t="s">
        <v>6646</v>
      </c>
      <c r="B1140" s="1" t="s">
        <v>6622</v>
      </c>
      <c r="C1140" s="1" t="s">
        <v>6649</v>
      </c>
      <c r="D1140" s="1" t="s">
        <v>2670</v>
      </c>
      <c r="E1140" s="1" t="s">
        <v>2670</v>
      </c>
      <c r="F1140" s="1" t="s">
        <v>17</v>
      </c>
      <c r="G1140" s="4" t="str">
        <f>"07055"</f>
        <v>07055</v>
      </c>
      <c r="H1140" s="1">
        <v>0</v>
      </c>
      <c r="I1140" s="1">
        <v>0</v>
      </c>
      <c r="J1140" s="1">
        <v>0</v>
      </c>
      <c r="K1140" s="1">
        <v>0</v>
      </c>
      <c r="L1140" s="1" t="s">
        <v>434</v>
      </c>
      <c r="M1140" s="1" t="s">
        <v>6647</v>
      </c>
      <c r="N1140" s="1" t="s">
        <v>13</v>
      </c>
      <c r="O1140" s="1" t="s">
        <v>6648</v>
      </c>
    </row>
    <row r="1141" spans="1:15" x14ac:dyDescent="0.4">
      <c r="A1141" s="1" t="s">
        <v>6650</v>
      </c>
      <c r="B1141" s="1" t="s">
        <v>6622</v>
      </c>
      <c r="C1141" s="1" t="s">
        <v>6654</v>
      </c>
      <c r="D1141" s="1" t="s">
        <v>2670</v>
      </c>
      <c r="E1141" s="1" t="s">
        <v>2670</v>
      </c>
      <c r="F1141" s="1" t="s">
        <v>17</v>
      </c>
      <c r="G1141" s="4" t="str">
        <f>"07055"</f>
        <v>07055</v>
      </c>
      <c r="H1141" s="1">
        <v>0</v>
      </c>
      <c r="I1141" s="1">
        <v>0</v>
      </c>
      <c r="J1141" s="1">
        <v>0</v>
      </c>
      <c r="K1141" s="1">
        <v>0</v>
      </c>
      <c r="L1141" s="1" t="s">
        <v>6651</v>
      </c>
      <c r="M1141" s="1" t="s">
        <v>6652</v>
      </c>
      <c r="N1141" s="1" t="s">
        <v>13</v>
      </c>
      <c r="O1141" s="1" t="s">
        <v>6653</v>
      </c>
    </row>
    <row r="1142" spans="1:15" x14ac:dyDescent="0.4">
      <c r="A1142" s="1" t="s">
        <v>6655</v>
      </c>
      <c r="B1142" s="1" t="s">
        <v>6622</v>
      </c>
      <c r="C1142" s="1" t="s">
        <v>6657</v>
      </c>
      <c r="D1142" s="1" t="s">
        <v>2670</v>
      </c>
      <c r="E1142" s="1" t="s">
        <v>2670</v>
      </c>
      <c r="F1142" s="1" t="s">
        <v>17</v>
      </c>
      <c r="G1142" s="4" t="str">
        <f>"07055"</f>
        <v>07055</v>
      </c>
      <c r="H1142" s="1">
        <v>0</v>
      </c>
      <c r="I1142" s="1">
        <v>0</v>
      </c>
      <c r="J1142" s="1">
        <v>0</v>
      </c>
      <c r="K1142" s="1">
        <v>0</v>
      </c>
      <c r="L1142" s="1" t="s">
        <v>1027</v>
      </c>
      <c r="M1142" s="1" t="s">
        <v>275</v>
      </c>
      <c r="N1142" s="1" t="s">
        <v>13</v>
      </c>
      <c r="O1142" s="1" t="s">
        <v>6656</v>
      </c>
    </row>
    <row r="1143" spans="1:15" x14ac:dyDescent="0.4">
      <c r="A1143" s="1" t="s">
        <v>6688</v>
      </c>
      <c r="B1143" s="1" t="s">
        <v>6687</v>
      </c>
      <c r="C1143" s="1" t="s">
        <v>6691</v>
      </c>
      <c r="D1143" s="1" t="s">
        <v>6605</v>
      </c>
      <c r="E1143" s="1" t="s">
        <v>2670</v>
      </c>
      <c r="F1143" s="1" t="s">
        <v>17</v>
      </c>
      <c r="G1143" s="4" t="str">
        <f>"07424"</f>
        <v>07424</v>
      </c>
      <c r="H1143" s="1">
        <v>0</v>
      </c>
      <c r="I1143" s="1">
        <v>0</v>
      </c>
      <c r="J1143" s="1">
        <v>0</v>
      </c>
      <c r="K1143" s="1">
        <v>0</v>
      </c>
      <c r="L1143" s="1" t="s">
        <v>290</v>
      </c>
      <c r="M1143" s="1" t="s">
        <v>6689</v>
      </c>
      <c r="N1143" s="1" t="s">
        <v>13</v>
      </c>
      <c r="O1143" s="1" t="s">
        <v>6690</v>
      </c>
    </row>
    <row r="1144" spans="1:15" x14ac:dyDescent="0.4">
      <c r="A1144" s="1" t="s">
        <v>2671</v>
      </c>
      <c r="B1144" s="1" t="s">
        <v>2671</v>
      </c>
      <c r="C1144" s="1" t="s">
        <v>2672</v>
      </c>
      <c r="D1144" s="1" t="s">
        <v>1638</v>
      </c>
      <c r="E1144" s="1" t="s">
        <v>8022</v>
      </c>
      <c r="F1144" s="1" t="s">
        <v>17</v>
      </c>
      <c r="G1144" s="4" t="str">
        <f>"07501"</f>
        <v>07501</v>
      </c>
      <c r="H1144" s="1">
        <v>0</v>
      </c>
      <c r="I1144" s="1">
        <v>0</v>
      </c>
      <c r="J1144" s="1">
        <v>0</v>
      </c>
      <c r="K1144" s="1">
        <v>138</v>
      </c>
      <c r="L1144" s="1" t="s">
        <v>2446</v>
      </c>
      <c r="M1144" s="1" t="s">
        <v>2447</v>
      </c>
      <c r="N1144" s="1" t="s">
        <v>91</v>
      </c>
      <c r="O1144" s="1" t="s">
        <v>2448</v>
      </c>
    </row>
    <row r="1145" spans="1:15" x14ac:dyDescent="0.4">
      <c r="A1145" s="1" t="s">
        <v>2673</v>
      </c>
      <c r="B1145" s="1" t="s">
        <v>2673</v>
      </c>
      <c r="C1145" s="1" t="s">
        <v>2677</v>
      </c>
      <c r="D1145" s="1" t="s">
        <v>2460</v>
      </c>
      <c r="E1145" s="1" t="s">
        <v>8022</v>
      </c>
      <c r="F1145" s="1" t="s">
        <v>17</v>
      </c>
      <c r="G1145" s="4" t="str">
        <f>"07503"</f>
        <v>07503</v>
      </c>
      <c r="H1145" s="1">
        <v>0</v>
      </c>
      <c r="I1145" s="1">
        <v>0</v>
      </c>
      <c r="J1145" s="1">
        <v>0</v>
      </c>
      <c r="K1145" s="1">
        <v>136</v>
      </c>
      <c r="L1145" s="1" t="s">
        <v>2674</v>
      </c>
      <c r="M1145" s="1" t="s">
        <v>2675</v>
      </c>
      <c r="N1145" s="1" t="s">
        <v>1924</v>
      </c>
      <c r="O1145" s="1" t="s">
        <v>2676</v>
      </c>
    </row>
    <row r="1146" spans="1:15" x14ac:dyDescent="0.4">
      <c r="A1146" s="1" t="s">
        <v>6735</v>
      </c>
      <c r="B1146" s="1" t="s">
        <v>6692</v>
      </c>
      <c r="C1146" s="1" t="s">
        <v>6739</v>
      </c>
      <c r="D1146" s="1" t="s">
        <v>2460</v>
      </c>
      <c r="E1146" s="1" t="s">
        <v>2670</v>
      </c>
      <c r="F1146" s="1" t="s">
        <v>17</v>
      </c>
      <c r="G1146" s="4" t="str">
        <f>"07505"</f>
        <v>07505</v>
      </c>
      <c r="H1146" s="1">
        <v>0</v>
      </c>
      <c r="I1146" s="1">
        <v>0</v>
      </c>
      <c r="J1146" s="1">
        <v>0</v>
      </c>
      <c r="K1146" s="1">
        <v>0</v>
      </c>
      <c r="L1146" s="1" t="s">
        <v>6736</v>
      </c>
      <c r="M1146" s="1" t="s">
        <v>6737</v>
      </c>
      <c r="N1146" s="1" t="s">
        <v>13</v>
      </c>
      <c r="O1146" s="1" t="s">
        <v>6738</v>
      </c>
    </row>
    <row r="1147" spans="1:15" x14ac:dyDescent="0.4">
      <c r="A1147" s="1" t="s">
        <v>6740</v>
      </c>
      <c r="B1147" s="1" t="s">
        <v>6692</v>
      </c>
      <c r="C1147" s="1" t="s">
        <v>6744</v>
      </c>
      <c r="D1147" s="1" t="s">
        <v>2460</v>
      </c>
      <c r="E1147" s="1" t="s">
        <v>2670</v>
      </c>
      <c r="F1147" s="1" t="s">
        <v>17</v>
      </c>
      <c r="G1147" s="4" t="str">
        <f>"07514"</f>
        <v>07514</v>
      </c>
      <c r="H1147" s="1">
        <v>0</v>
      </c>
      <c r="I1147" s="1">
        <v>0</v>
      </c>
      <c r="J1147" s="1">
        <v>0</v>
      </c>
      <c r="K1147" s="1">
        <v>0</v>
      </c>
      <c r="L1147" s="1" t="s">
        <v>6741</v>
      </c>
      <c r="M1147" s="1" t="s">
        <v>6742</v>
      </c>
      <c r="N1147" s="1" t="s">
        <v>13</v>
      </c>
      <c r="O1147" s="1" t="s">
        <v>6743</v>
      </c>
    </row>
    <row r="1148" spans="1:15" x14ac:dyDescent="0.4">
      <c r="A1148" s="1" t="s">
        <v>4787</v>
      </c>
      <c r="B1148" s="1" t="s">
        <v>4764</v>
      </c>
      <c r="C1148" s="1" t="s">
        <v>4789</v>
      </c>
      <c r="D1148" s="1" t="s">
        <v>4769</v>
      </c>
      <c r="E1148" s="1" t="s">
        <v>4704</v>
      </c>
      <c r="F1148" s="1" t="s">
        <v>17</v>
      </c>
      <c r="G1148" s="4" t="str">
        <f>"08901"</f>
        <v>08901</v>
      </c>
      <c r="H1148" s="1">
        <v>0</v>
      </c>
      <c r="I1148" s="1">
        <v>0</v>
      </c>
      <c r="J1148" s="1">
        <v>0</v>
      </c>
      <c r="K1148" s="1">
        <v>0</v>
      </c>
      <c r="L1148" s="1" t="s">
        <v>255</v>
      </c>
      <c r="M1148" s="1" t="s">
        <v>1533</v>
      </c>
      <c r="N1148" s="1" t="s">
        <v>13</v>
      </c>
      <c r="O1148" s="1" t="s">
        <v>4788</v>
      </c>
    </row>
    <row r="1149" spans="1:15" x14ac:dyDescent="0.4">
      <c r="A1149" s="1" t="s">
        <v>3052</v>
      </c>
      <c r="B1149" s="1" t="s">
        <v>3031</v>
      </c>
      <c r="C1149" s="1" t="s">
        <v>3050</v>
      </c>
      <c r="D1149" s="1" t="s">
        <v>2536</v>
      </c>
      <c r="E1149" s="1" t="s">
        <v>8024</v>
      </c>
      <c r="F1149" s="1" t="s">
        <v>17</v>
      </c>
      <c r="G1149" s="4" t="str">
        <f>"07017-2912"</f>
        <v>07017-2912</v>
      </c>
      <c r="H1149" s="1">
        <v>0</v>
      </c>
      <c r="I1149" s="1">
        <v>0</v>
      </c>
      <c r="J1149" s="1">
        <v>0</v>
      </c>
      <c r="K1149" s="1">
        <v>0</v>
      </c>
      <c r="L1149" s="1" t="s">
        <v>3053</v>
      </c>
      <c r="M1149" s="1" t="s">
        <v>3054</v>
      </c>
      <c r="N1149" s="1" t="s">
        <v>13</v>
      </c>
      <c r="O1149" s="1" t="s">
        <v>3055</v>
      </c>
    </row>
    <row r="1150" spans="1:15" x14ac:dyDescent="0.4">
      <c r="A1150" s="1" t="s">
        <v>528</v>
      </c>
      <c r="B1150" s="1" t="s">
        <v>522</v>
      </c>
      <c r="C1150" s="1" t="s">
        <v>531</v>
      </c>
      <c r="D1150" s="1" t="s">
        <v>527</v>
      </c>
      <c r="E1150" s="1" t="s">
        <v>8018</v>
      </c>
      <c r="F1150" s="1" t="s">
        <v>17</v>
      </c>
      <c r="G1150" s="4" t="str">
        <f>"07630-1847"</f>
        <v>07630-1847</v>
      </c>
      <c r="H1150" s="1">
        <v>0</v>
      </c>
      <c r="I1150" s="1">
        <v>0</v>
      </c>
      <c r="J1150" s="1">
        <v>0</v>
      </c>
      <c r="K1150" s="1">
        <v>0</v>
      </c>
      <c r="L1150" s="1" t="s">
        <v>18</v>
      </c>
      <c r="M1150" s="1" t="s">
        <v>529</v>
      </c>
      <c r="N1150" s="1" t="s">
        <v>13</v>
      </c>
      <c r="O1150" s="1" t="s">
        <v>530</v>
      </c>
    </row>
    <row r="1151" spans="1:15" x14ac:dyDescent="0.4">
      <c r="A1151" s="1" t="s">
        <v>4085</v>
      </c>
      <c r="B1151" s="1" t="s">
        <v>4080</v>
      </c>
      <c r="C1151" s="1" t="s">
        <v>4088</v>
      </c>
      <c r="D1151" s="1" t="s">
        <v>4089</v>
      </c>
      <c r="E1151" s="1" t="s">
        <v>8025</v>
      </c>
      <c r="F1151" s="1" t="s">
        <v>17</v>
      </c>
      <c r="G1151" s="4" t="str">
        <f>"08833"</f>
        <v>08833</v>
      </c>
      <c r="H1151" s="1">
        <v>1</v>
      </c>
      <c r="I1151" s="1">
        <v>0.3</v>
      </c>
      <c r="J1151" s="1">
        <v>0</v>
      </c>
      <c r="K1151" s="1">
        <v>120</v>
      </c>
      <c r="L1151" s="1" t="s">
        <v>197</v>
      </c>
      <c r="M1151" s="1" t="s">
        <v>4086</v>
      </c>
      <c r="N1151" s="1" t="s">
        <v>13</v>
      </c>
      <c r="O1151" s="1" t="s">
        <v>4087</v>
      </c>
    </row>
    <row r="1152" spans="1:15" x14ac:dyDescent="0.4">
      <c r="A1152" s="1" t="s">
        <v>4460</v>
      </c>
      <c r="B1152" s="1" t="s">
        <v>4393</v>
      </c>
      <c r="C1152" s="1" t="s">
        <v>4464</v>
      </c>
      <c r="D1152" s="1" t="s">
        <v>2600</v>
      </c>
      <c r="E1152" s="1" t="s">
        <v>8026</v>
      </c>
      <c r="F1152" s="1" t="s">
        <v>17</v>
      </c>
      <c r="G1152" s="4" t="str">
        <f>"08609-1506"</f>
        <v>08609-1506</v>
      </c>
      <c r="H1152" s="1">
        <v>0</v>
      </c>
      <c r="I1152" s="1">
        <v>0</v>
      </c>
      <c r="J1152" s="1">
        <v>0</v>
      </c>
      <c r="K1152" s="1">
        <v>116</v>
      </c>
      <c r="L1152" s="1" t="s">
        <v>4461</v>
      </c>
      <c r="M1152" s="1" t="s">
        <v>4462</v>
      </c>
      <c r="N1152" s="1" t="s">
        <v>13</v>
      </c>
      <c r="O1152" s="1" t="s">
        <v>4463</v>
      </c>
    </row>
    <row r="1153" spans="1:15" x14ac:dyDescent="0.4">
      <c r="A1153" s="1" t="s">
        <v>2678</v>
      </c>
      <c r="B1153" s="1" t="s">
        <v>2678</v>
      </c>
      <c r="C1153" s="1" t="s">
        <v>2682</v>
      </c>
      <c r="D1153" s="1" t="s">
        <v>2600</v>
      </c>
      <c r="E1153" s="1" t="s">
        <v>8022</v>
      </c>
      <c r="F1153" s="1" t="s">
        <v>17</v>
      </c>
      <c r="G1153" s="4" t="str">
        <f>"08638"</f>
        <v>08638</v>
      </c>
      <c r="H1153" s="1">
        <v>0</v>
      </c>
      <c r="I1153" s="1">
        <v>0</v>
      </c>
      <c r="J1153" s="1">
        <v>0</v>
      </c>
      <c r="K1153" s="1">
        <v>52</v>
      </c>
      <c r="L1153" s="1" t="s">
        <v>2679</v>
      </c>
      <c r="M1153" s="1" t="s">
        <v>2680</v>
      </c>
      <c r="N1153" s="1" t="s">
        <v>91</v>
      </c>
      <c r="O1153" s="1" t="s">
        <v>2681</v>
      </c>
    </row>
    <row r="1154" spans="1:15" x14ac:dyDescent="0.4">
      <c r="A1154" s="1" t="s">
        <v>4465</v>
      </c>
      <c r="B1154" s="1" t="s">
        <v>4393</v>
      </c>
      <c r="C1154" s="1" t="s">
        <v>4468</v>
      </c>
      <c r="D1154" s="1" t="s">
        <v>2600</v>
      </c>
      <c r="E1154" s="1" t="s">
        <v>8026</v>
      </c>
      <c r="F1154" s="1" t="s">
        <v>17</v>
      </c>
      <c r="G1154" s="4" t="str">
        <f>"08629"</f>
        <v>08629</v>
      </c>
      <c r="H1154" s="1">
        <v>0</v>
      </c>
      <c r="I1154" s="1">
        <v>0</v>
      </c>
      <c r="J1154" s="1">
        <v>0</v>
      </c>
      <c r="K1154" s="1">
        <v>97</v>
      </c>
      <c r="L1154" s="1" t="s">
        <v>158</v>
      </c>
      <c r="M1154" s="1" t="s">
        <v>4466</v>
      </c>
      <c r="N1154" s="1" t="s">
        <v>13</v>
      </c>
      <c r="O1154" s="1" t="s">
        <v>4467</v>
      </c>
    </row>
    <row r="1155" spans="1:15" x14ac:dyDescent="0.4">
      <c r="A1155" s="1" t="s">
        <v>6963</v>
      </c>
      <c r="B1155" s="1" t="s">
        <v>6956</v>
      </c>
      <c r="C1155" s="1" t="s">
        <v>6966</v>
      </c>
      <c r="D1155" s="1" t="s">
        <v>6967</v>
      </c>
      <c r="E1155" s="1" t="s">
        <v>8029</v>
      </c>
      <c r="F1155" s="1" t="s">
        <v>17</v>
      </c>
      <c r="G1155" s="4" t="str">
        <f>"08069-1369"</f>
        <v>08069-1369</v>
      </c>
      <c r="H1155" s="1">
        <v>0</v>
      </c>
      <c r="I1155" s="1">
        <v>0</v>
      </c>
      <c r="J1155" s="1">
        <v>0</v>
      </c>
      <c r="K1155" s="1">
        <v>0</v>
      </c>
      <c r="L1155" s="1" t="s">
        <v>4369</v>
      </c>
      <c r="M1155" s="1" t="s">
        <v>6964</v>
      </c>
      <c r="N1155" s="1" t="s">
        <v>13</v>
      </c>
      <c r="O1155" s="1" t="s">
        <v>6965</v>
      </c>
    </row>
    <row r="1156" spans="1:15" x14ac:dyDescent="0.4">
      <c r="A1156" s="1" t="s">
        <v>2910</v>
      </c>
      <c r="B1156" s="1" t="s">
        <v>2878</v>
      </c>
      <c r="C1156" s="1" t="s">
        <v>2913</v>
      </c>
      <c r="D1156" s="1" t="s">
        <v>2796</v>
      </c>
      <c r="E1156" s="1" t="s">
        <v>8023</v>
      </c>
      <c r="F1156" s="1" t="s">
        <v>17</v>
      </c>
      <c r="G1156" s="4" t="str">
        <f>"08361-6601"</f>
        <v>08361-6601</v>
      </c>
      <c r="H1156" s="1">
        <v>0</v>
      </c>
      <c r="I1156" s="1">
        <v>0</v>
      </c>
      <c r="J1156" s="1">
        <v>0</v>
      </c>
      <c r="K1156" s="1">
        <v>63</v>
      </c>
      <c r="L1156" s="1" t="s">
        <v>118</v>
      </c>
      <c r="M1156" s="1" t="s">
        <v>2911</v>
      </c>
      <c r="N1156" s="1" t="s">
        <v>13</v>
      </c>
      <c r="O1156" s="1" t="s">
        <v>2912</v>
      </c>
    </row>
    <row r="1157" spans="1:15" x14ac:dyDescent="0.4">
      <c r="A1157" s="1" t="s">
        <v>3692</v>
      </c>
      <c r="B1157" s="1" t="s">
        <v>3686</v>
      </c>
      <c r="C1157" s="1" t="s">
        <v>3695</v>
      </c>
      <c r="D1157" s="1" t="s">
        <v>3687</v>
      </c>
      <c r="E1157" s="1" t="s">
        <v>8020</v>
      </c>
      <c r="F1157" s="1" t="s">
        <v>17</v>
      </c>
      <c r="G1157" s="4" t="str">
        <f>"08066"</f>
        <v>08066</v>
      </c>
      <c r="H1157" s="1">
        <v>0</v>
      </c>
      <c r="I1157" s="1">
        <v>0</v>
      </c>
      <c r="J1157" s="1">
        <v>0</v>
      </c>
      <c r="K1157" s="1">
        <v>0</v>
      </c>
      <c r="L1157" s="1" t="s">
        <v>1408</v>
      </c>
      <c r="M1157" s="1" t="s">
        <v>3693</v>
      </c>
      <c r="N1157" s="1" t="s">
        <v>13</v>
      </c>
      <c r="O1157" s="1" t="s">
        <v>3694</v>
      </c>
    </row>
    <row r="1158" spans="1:15" x14ac:dyDescent="0.4">
      <c r="A1158" s="1" t="s">
        <v>3696</v>
      </c>
      <c r="B1158" s="1" t="s">
        <v>3686</v>
      </c>
      <c r="C1158" s="1" t="s">
        <v>3697</v>
      </c>
      <c r="D1158" s="1" t="s">
        <v>3698</v>
      </c>
      <c r="E1158" s="1" t="s">
        <v>8020</v>
      </c>
      <c r="F1158" s="1" t="s">
        <v>17</v>
      </c>
      <c r="G1158" s="4" t="str">
        <f>"08066"</f>
        <v>08066</v>
      </c>
      <c r="H1158" s="1">
        <v>0</v>
      </c>
      <c r="I1158" s="1">
        <v>0</v>
      </c>
      <c r="J1158" s="1">
        <v>0</v>
      </c>
      <c r="K1158" s="1">
        <v>0</v>
      </c>
      <c r="L1158" s="1" t="s">
        <v>1408</v>
      </c>
      <c r="M1158" s="1" t="s">
        <v>3693</v>
      </c>
      <c r="N1158" s="1" t="s">
        <v>13</v>
      </c>
      <c r="O1158" s="1" t="s">
        <v>3694</v>
      </c>
    </row>
    <row r="1159" spans="1:15" x14ac:dyDescent="0.4">
      <c r="A1159" s="1" t="s">
        <v>5842</v>
      </c>
      <c r="B1159" s="1" t="s">
        <v>5832</v>
      </c>
      <c r="C1159" s="1" t="s">
        <v>5844</v>
      </c>
      <c r="D1159" s="1" t="s">
        <v>5837</v>
      </c>
      <c r="E1159" s="1" t="s">
        <v>1503</v>
      </c>
      <c r="F1159" s="1" t="s">
        <v>17</v>
      </c>
      <c r="G1159" s="4" t="str">
        <f>"07405"</f>
        <v>07405</v>
      </c>
      <c r="H1159" s="1">
        <v>0</v>
      </c>
      <c r="I1159" s="1">
        <v>0</v>
      </c>
      <c r="J1159" s="1">
        <v>0</v>
      </c>
      <c r="K1159" s="1">
        <v>0</v>
      </c>
      <c r="L1159" s="1" t="s">
        <v>236</v>
      </c>
      <c r="M1159" s="1" t="s">
        <v>3201</v>
      </c>
      <c r="N1159" s="1" t="s">
        <v>13</v>
      </c>
      <c r="O1159" s="1" t="s">
        <v>5843</v>
      </c>
    </row>
    <row r="1160" spans="1:15" x14ac:dyDescent="0.4">
      <c r="A1160" s="1" t="s">
        <v>1694</v>
      </c>
      <c r="B1160" s="1" t="s">
        <v>1666</v>
      </c>
      <c r="C1160" s="1" t="s">
        <v>1697</v>
      </c>
      <c r="D1160" s="1" t="s">
        <v>1677</v>
      </c>
      <c r="E1160" s="1" t="s">
        <v>8019</v>
      </c>
      <c r="F1160" s="1" t="s">
        <v>17</v>
      </c>
      <c r="G1160" s="4" t="str">
        <f>"08068-9701"</f>
        <v>08068-9701</v>
      </c>
      <c r="H1160" s="1">
        <v>0</v>
      </c>
      <c r="I1160" s="1">
        <v>0</v>
      </c>
      <c r="J1160" s="1">
        <v>0</v>
      </c>
      <c r="K1160" s="1">
        <v>0</v>
      </c>
      <c r="L1160" s="1" t="s">
        <v>1695</v>
      </c>
      <c r="M1160" s="1" t="s">
        <v>1187</v>
      </c>
      <c r="N1160" s="1" t="s">
        <v>13</v>
      </c>
      <c r="O1160" s="1" t="s">
        <v>1696</v>
      </c>
    </row>
    <row r="1161" spans="1:15" x14ac:dyDescent="0.4">
      <c r="A1161" s="1" t="s">
        <v>6968</v>
      </c>
      <c r="B1161" s="1" t="s">
        <v>6956</v>
      </c>
      <c r="C1161" s="1" t="s">
        <v>6971</v>
      </c>
      <c r="D1161" s="1" t="s">
        <v>6961</v>
      </c>
      <c r="E1161" s="1" t="s">
        <v>8029</v>
      </c>
      <c r="F1161" s="1" t="s">
        <v>17</v>
      </c>
      <c r="G1161" s="4" t="str">
        <f>"08069-1369"</f>
        <v>08069-1369</v>
      </c>
      <c r="H1161" s="1">
        <v>0</v>
      </c>
      <c r="I1161" s="1">
        <v>0</v>
      </c>
      <c r="J1161" s="1">
        <v>0</v>
      </c>
      <c r="K1161" s="1">
        <v>0</v>
      </c>
      <c r="L1161" s="1" t="s">
        <v>6969</v>
      </c>
      <c r="M1161" s="1" t="s">
        <v>8037</v>
      </c>
      <c r="N1161" s="1" t="s">
        <v>13</v>
      </c>
      <c r="O1161" s="1" t="s">
        <v>6970</v>
      </c>
    </row>
    <row r="1162" spans="1:15" x14ac:dyDescent="0.4">
      <c r="A1162" s="1" t="s">
        <v>6972</v>
      </c>
      <c r="B1162" s="1" t="s">
        <v>6956</v>
      </c>
      <c r="C1162" s="1" t="s">
        <v>6976</v>
      </c>
      <c r="D1162" s="1" t="s">
        <v>6967</v>
      </c>
      <c r="E1162" s="1" t="s">
        <v>8029</v>
      </c>
      <c r="F1162" s="1" t="s">
        <v>17</v>
      </c>
      <c r="G1162" s="4" t="str">
        <f>"08069-1369"</f>
        <v>08069-1369</v>
      </c>
      <c r="H1162" s="1">
        <v>0</v>
      </c>
      <c r="I1162" s="1">
        <v>0</v>
      </c>
      <c r="J1162" s="1">
        <v>0</v>
      </c>
      <c r="K1162" s="1">
        <v>0</v>
      </c>
      <c r="L1162" s="1" t="s">
        <v>6973</v>
      </c>
      <c r="M1162" s="1" t="s">
        <v>6974</v>
      </c>
      <c r="N1162" s="1" t="s">
        <v>13</v>
      </c>
      <c r="O1162" s="1" t="s">
        <v>6975</v>
      </c>
    </row>
    <row r="1163" spans="1:15" x14ac:dyDescent="0.4">
      <c r="A1163" s="1" t="s">
        <v>2207</v>
      </c>
      <c r="B1163" s="1" t="s">
        <v>2184</v>
      </c>
      <c r="C1163" s="1" t="s">
        <v>2210</v>
      </c>
      <c r="D1163" s="1" t="s">
        <v>2190</v>
      </c>
      <c r="E1163" s="1" t="s">
        <v>1909</v>
      </c>
      <c r="F1163" s="1" t="s">
        <v>17</v>
      </c>
      <c r="G1163" s="4" t="str">
        <f>"08110"</f>
        <v>08110</v>
      </c>
      <c r="H1163" s="1">
        <v>0</v>
      </c>
      <c r="I1163" s="1">
        <v>0</v>
      </c>
      <c r="J1163" s="1">
        <v>0</v>
      </c>
      <c r="K1163" s="1">
        <v>0</v>
      </c>
      <c r="L1163" s="1" t="s">
        <v>657</v>
      </c>
      <c r="M1163" s="1" t="s">
        <v>2208</v>
      </c>
      <c r="N1163" s="1" t="s">
        <v>13</v>
      </c>
      <c r="O1163" s="1" t="s">
        <v>2209</v>
      </c>
    </row>
    <row r="1164" spans="1:15" x14ac:dyDescent="0.4">
      <c r="A1164" s="1" t="s">
        <v>2211</v>
      </c>
      <c r="B1164" s="1" t="s">
        <v>2184</v>
      </c>
      <c r="C1164" s="1" t="s">
        <v>2215</v>
      </c>
      <c r="D1164" s="1" t="s">
        <v>2190</v>
      </c>
      <c r="E1164" s="1" t="s">
        <v>1909</v>
      </c>
      <c r="F1164" s="1" t="s">
        <v>17</v>
      </c>
      <c r="G1164" s="4" t="str">
        <f>"08109"</f>
        <v>08109</v>
      </c>
      <c r="H1164" s="1">
        <v>0</v>
      </c>
      <c r="I1164" s="1">
        <v>0</v>
      </c>
      <c r="J1164" s="1">
        <v>0</v>
      </c>
      <c r="K1164" s="1">
        <v>0</v>
      </c>
      <c r="L1164" s="1" t="s">
        <v>2212</v>
      </c>
      <c r="M1164" s="1" t="s">
        <v>2213</v>
      </c>
      <c r="N1164" s="1" t="s">
        <v>13</v>
      </c>
      <c r="O1164" s="1" t="s">
        <v>2214</v>
      </c>
    </row>
    <row r="1165" spans="1:15" x14ac:dyDescent="0.4">
      <c r="A1165" s="1" t="s">
        <v>6983</v>
      </c>
      <c r="B1165" s="1" t="s">
        <v>6977</v>
      </c>
      <c r="C1165" s="1" t="s">
        <v>6986</v>
      </c>
      <c r="D1165" s="1" t="s">
        <v>6982</v>
      </c>
      <c r="E1165" s="1" t="s">
        <v>8029</v>
      </c>
      <c r="F1165" s="1" t="s">
        <v>17</v>
      </c>
      <c r="G1165" s="4" t="str">
        <f>"08070-2060"</f>
        <v>08070-2060</v>
      </c>
      <c r="H1165" s="1">
        <v>0</v>
      </c>
      <c r="I1165" s="1">
        <v>0</v>
      </c>
      <c r="J1165" s="1">
        <v>0</v>
      </c>
      <c r="K1165" s="1">
        <v>0</v>
      </c>
      <c r="L1165" s="1" t="s">
        <v>1408</v>
      </c>
      <c r="M1165" s="1" t="s">
        <v>6984</v>
      </c>
      <c r="N1165" s="1" t="s">
        <v>13</v>
      </c>
      <c r="O1165" s="1" t="s">
        <v>6985</v>
      </c>
    </row>
    <row r="1166" spans="1:15" x14ac:dyDescent="0.4">
      <c r="A1166" s="1" t="s">
        <v>6987</v>
      </c>
      <c r="B1166" s="1" t="s">
        <v>6977</v>
      </c>
      <c r="C1166" s="1" t="s">
        <v>6990</v>
      </c>
      <c r="D1166" s="1" t="s">
        <v>6982</v>
      </c>
      <c r="E1166" s="1" t="s">
        <v>8029</v>
      </c>
      <c r="F1166" s="1" t="s">
        <v>17</v>
      </c>
      <c r="G1166" s="4" t="str">
        <f>"08070-1800"</f>
        <v>08070-1800</v>
      </c>
      <c r="H1166" s="1">
        <v>0</v>
      </c>
      <c r="I1166" s="1">
        <v>0</v>
      </c>
      <c r="J1166" s="1">
        <v>0</v>
      </c>
      <c r="K1166" s="1">
        <v>0</v>
      </c>
      <c r="L1166" s="1" t="s">
        <v>917</v>
      </c>
      <c r="M1166" s="1" t="s">
        <v>6988</v>
      </c>
      <c r="N1166" s="1" t="s">
        <v>13</v>
      </c>
      <c r="O1166" s="1" t="s">
        <v>6989</v>
      </c>
    </row>
    <row r="1167" spans="1:15" x14ac:dyDescent="0.4">
      <c r="A1167" s="1" t="s">
        <v>5106</v>
      </c>
      <c r="B1167" s="1" t="s">
        <v>5044</v>
      </c>
      <c r="C1167" s="1" t="s">
        <v>5109</v>
      </c>
      <c r="D1167" s="1" t="s">
        <v>5059</v>
      </c>
      <c r="E1167" s="1" t="s">
        <v>4704</v>
      </c>
      <c r="F1167" s="1" t="s">
        <v>17</v>
      </c>
      <c r="G1167" s="4" t="str">
        <f>"07067"</f>
        <v>07067</v>
      </c>
      <c r="H1167" s="1">
        <v>0</v>
      </c>
      <c r="I1167" s="1">
        <v>0</v>
      </c>
      <c r="J1167" s="1">
        <v>0</v>
      </c>
      <c r="K1167" s="1">
        <v>41</v>
      </c>
      <c r="L1167" s="1" t="s">
        <v>306</v>
      </c>
      <c r="M1167" s="1" t="s">
        <v>5107</v>
      </c>
      <c r="N1167" s="1" t="s">
        <v>13</v>
      </c>
      <c r="O1167" s="1" t="s">
        <v>5108</v>
      </c>
    </row>
    <row r="1168" spans="1:15" x14ac:dyDescent="0.4">
      <c r="A1168" s="1" t="s">
        <v>8046</v>
      </c>
      <c r="B1168" s="1" t="s">
        <v>8046</v>
      </c>
      <c r="C1168" s="1" t="s">
        <v>2685</v>
      </c>
      <c r="D1168" s="1" t="s">
        <v>2153</v>
      </c>
      <c r="E1168" s="1" t="s">
        <v>8022</v>
      </c>
      <c r="F1168" s="1" t="s">
        <v>17</v>
      </c>
      <c r="G1168" s="4" t="str">
        <f>"07108"</f>
        <v>07108</v>
      </c>
      <c r="H1168" s="1">
        <v>0</v>
      </c>
      <c r="I1168" s="1">
        <v>0</v>
      </c>
      <c r="J1168" s="1">
        <v>0</v>
      </c>
      <c r="K1168" s="1">
        <v>45</v>
      </c>
      <c r="L1168" s="1" t="s">
        <v>380</v>
      </c>
      <c r="M1168" s="1" t="s">
        <v>2683</v>
      </c>
      <c r="N1168" s="1" t="s">
        <v>13</v>
      </c>
      <c r="O1168" s="1" t="s">
        <v>2684</v>
      </c>
    </row>
    <row r="1169" spans="1:15" x14ac:dyDescent="0.4">
      <c r="A1169" s="1" t="s">
        <v>6082</v>
      </c>
      <c r="B1169" s="1" t="s">
        <v>6076</v>
      </c>
      <c r="C1169" s="1" t="s">
        <v>6085</v>
      </c>
      <c r="D1169" s="1" t="s">
        <v>6081</v>
      </c>
      <c r="E1169" s="1" t="s">
        <v>1503</v>
      </c>
      <c r="F1169" s="1" t="s">
        <v>17</v>
      </c>
      <c r="G1169" s="4" t="str">
        <f>"07444-1652"</f>
        <v>07444-1652</v>
      </c>
      <c r="H1169" s="1">
        <v>0</v>
      </c>
      <c r="I1169" s="1">
        <v>0</v>
      </c>
      <c r="J1169" s="1">
        <v>0</v>
      </c>
      <c r="K1169" s="1">
        <v>0</v>
      </c>
      <c r="L1169" s="1" t="s">
        <v>657</v>
      </c>
      <c r="M1169" s="1" t="s">
        <v>6083</v>
      </c>
      <c r="N1169" s="1" t="s">
        <v>13</v>
      </c>
      <c r="O1169" s="1" t="s">
        <v>6084</v>
      </c>
    </row>
    <row r="1170" spans="1:15" x14ac:dyDescent="0.4">
      <c r="A1170" s="1" t="s">
        <v>6086</v>
      </c>
      <c r="B1170" s="1" t="s">
        <v>6076</v>
      </c>
      <c r="C1170" s="1" t="s">
        <v>6089</v>
      </c>
      <c r="D1170" s="1" t="s">
        <v>6081</v>
      </c>
      <c r="E1170" s="1" t="s">
        <v>1503</v>
      </c>
      <c r="F1170" s="1" t="s">
        <v>17</v>
      </c>
      <c r="G1170" s="4" t="str">
        <f>"07444-1923"</f>
        <v>07444-1923</v>
      </c>
      <c r="H1170" s="1">
        <v>0</v>
      </c>
      <c r="I1170" s="1">
        <v>0</v>
      </c>
      <c r="J1170" s="1">
        <v>0</v>
      </c>
      <c r="K1170" s="1">
        <v>0</v>
      </c>
      <c r="L1170" s="1" t="s">
        <v>434</v>
      </c>
      <c r="M1170" s="1" t="s">
        <v>6087</v>
      </c>
      <c r="N1170" s="1" t="s">
        <v>13</v>
      </c>
      <c r="O1170" s="1" t="s">
        <v>6088</v>
      </c>
    </row>
    <row r="1171" spans="1:15" x14ac:dyDescent="0.4">
      <c r="A1171" s="1" t="s">
        <v>4212</v>
      </c>
      <c r="B1171" s="1" t="s">
        <v>4193</v>
      </c>
      <c r="C1171" s="1" t="s">
        <v>4215</v>
      </c>
      <c r="D1171" s="1" t="s">
        <v>4198</v>
      </c>
      <c r="E1171" s="1" t="s">
        <v>8026</v>
      </c>
      <c r="F1171" s="1" t="s">
        <v>17</v>
      </c>
      <c r="G1171" s="4" t="str">
        <f>"08520"</f>
        <v>08520</v>
      </c>
      <c r="H1171" s="1">
        <v>0</v>
      </c>
      <c r="I1171" s="1">
        <v>0</v>
      </c>
      <c r="J1171" s="1">
        <v>0</v>
      </c>
      <c r="K1171" s="1">
        <v>0</v>
      </c>
      <c r="L1171" s="1" t="s">
        <v>4213</v>
      </c>
      <c r="M1171" s="1" t="s">
        <v>1881</v>
      </c>
      <c r="N1171" s="1" t="s">
        <v>13</v>
      </c>
      <c r="O1171" s="1" t="s">
        <v>4214</v>
      </c>
    </row>
    <row r="1172" spans="1:15" x14ac:dyDescent="0.4">
      <c r="A1172" s="1" t="s">
        <v>4879</v>
      </c>
      <c r="B1172" s="1" t="s">
        <v>4858</v>
      </c>
      <c r="C1172" s="1" t="s">
        <v>4883</v>
      </c>
      <c r="D1172" s="1" t="s">
        <v>4719</v>
      </c>
      <c r="E1172" s="1" t="s">
        <v>4704</v>
      </c>
      <c r="F1172" s="1" t="s">
        <v>17</v>
      </c>
      <c r="G1172" s="4" t="str">
        <f>"08861"</f>
        <v>08861</v>
      </c>
      <c r="H1172" s="1">
        <v>0</v>
      </c>
      <c r="I1172" s="1">
        <v>0</v>
      </c>
      <c r="J1172" s="1">
        <v>0</v>
      </c>
      <c r="K1172" s="1">
        <v>0</v>
      </c>
      <c r="L1172" s="1" t="s">
        <v>4880</v>
      </c>
      <c r="M1172" s="1" t="s">
        <v>4881</v>
      </c>
      <c r="N1172" s="1" t="s">
        <v>13</v>
      </c>
      <c r="O1172" s="1" t="s">
        <v>4882</v>
      </c>
    </row>
    <row r="1173" spans="1:15" x14ac:dyDescent="0.4">
      <c r="A1173" s="1" t="s">
        <v>4715</v>
      </c>
      <c r="B1173" s="1" t="s">
        <v>4705</v>
      </c>
      <c r="C1173" s="1" t="s">
        <v>4718</v>
      </c>
      <c r="D1173" s="1" t="s">
        <v>4719</v>
      </c>
      <c r="E1173" s="1" t="s">
        <v>4704</v>
      </c>
      <c r="F1173" s="1" t="s">
        <v>17</v>
      </c>
      <c r="G1173" s="4" t="str">
        <f>"08861"</f>
        <v>08861</v>
      </c>
      <c r="H1173" s="1">
        <v>0</v>
      </c>
      <c r="I1173" s="1">
        <v>0</v>
      </c>
      <c r="J1173" s="1">
        <v>0</v>
      </c>
      <c r="K1173" s="1">
        <v>0</v>
      </c>
      <c r="L1173" s="1" t="s">
        <v>50</v>
      </c>
      <c r="M1173" s="1" t="s">
        <v>4716</v>
      </c>
      <c r="N1173" s="1" t="s">
        <v>13</v>
      </c>
      <c r="O1173" s="1" t="s">
        <v>4717</v>
      </c>
    </row>
    <row r="1174" spans="1:15" x14ac:dyDescent="0.4">
      <c r="A1174" s="1" t="s">
        <v>6843</v>
      </c>
      <c r="B1174" s="1" t="s">
        <v>6833</v>
      </c>
      <c r="C1174" s="1" t="s">
        <v>6845</v>
      </c>
      <c r="D1174" s="1" t="s">
        <v>6838</v>
      </c>
      <c r="E1174" s="1" t="s">
        <v>2670</v>
      </c>
      <c r="F1174" s="1" t="s">
        <v>17</v>
      </c>
      <c r="G1174" s="4" t="str">
        <f>"07456"</f>
        <v>07456</v>
      </c>
      <c r="H1174" s="1">
        <v>0</v>
      </c>
      <c r="I1174" s="1">
        <v>0</v>
      </c>
      <c r="J1174" s="1">
        <v>0</v>
      </c>
      <c r="K1174" s="1">
        <v>61</v>
      </c>
      <c r="L1174" s="1" t="s">
        <v>997</v>
      </c>
      <c r="M1174" s="1" t="s">
        <v>2159</v>
      </c>
      <c r="N1174" s="1" t="s">
        <v>13</v>
      </c>
      <c r="O1174" s="1" t="s">
        <v>6844</v>
      </c>
    </row>
    <row r="1175" spans="1:15" x14ac:dyDescent="0.4">
      <c r="A1175" s="1" t="s">
        <v>8047</v>
      </c>
      <c r="B1175" s="1" t="s">
        <v>8047</v>
      </c>
      <c r="C1175" s="1" t="s">
        <v>2688</v>
      </c>
      <c r="D1175" s="1" t="s">
        <v>1638</v>
      </c>
      <c r="E1175" s="1" t="s">
        <v>8022</v>
      </c>
      <c r="F1175" s="1" t="s">
        <v>17</v>
      </c>
      <c r="G1175" s="4" t="str">
        <f>"07501"</f>
        <v>07501</v>
      </c>
      <c r="H1175" s="1">
        <v>0</v>
      </c>
      <c r="I1175" s="1">
        <v>0</v>
      </c>
      <c r="J1175" s="1">
        <v>0</v>
      </c>
      <c r="K1175" s="1">
        <v>78</v>
      </c>
      <c r="L1175" s="1" t="s">
        <v>2686</v>
      </c>
      <c r="M1175" s="1" t="s">
        <v>315</v>
      </c>
      <c r="N1175" s="1" t="s">
        <v>129</v>
      </c>
      <c r="O1175" s="1" t="s">
        <v>2687</v>
      </c>
    </row>
    <row r="1176" spans="1:15" x14ac:dyDescent="0.4">
      <c r="A1176" s="1" t="s">
        <v>7980</v>
      </c>
      <c r="B1176" s="1" t="s">
        <v>7979</v>
      </c>
      <c r="C1176" s="1" t="s">
        <v>7982</v>
      </c>
      <c r="D1176" s="1" t="s">
        <v>7952</v>
      </c>
      <c r="E1176" s="1" t="s">
        <v>55</v>
      </c>
      <c r="F1176" s="1" t="s">
        <v>17</v>
      </c>
      <c r="G1176" s="4" t="str">
        <f>"08865-1520"</f>
        <v>08865-1520</v>
      </c>
      <c r="H1176" s="1">
        <v>0</v>
      </c>
      <c r="I1176" s="1">
        <v>0</v>
      </c>
      <c r="J1176" s="1">
        <v>0</v>
      </c>
      <c r="K1176" s="1">
        <v>0</v>
      </c>
      <c r="L1176" s="1" t="s">
        <v>414</v>
      </c>
      <c r="M1176" s="1" t="s">
        <v>642</v>
      </c>
      <c r="N1176" s="1" t="s">
        <v>13</v>
      </c>
      <c r="O1176" s="1" t="s">
        <v>7981</v>
      </c>
    </row>
    <row r="1177" spans="1:15" x14ac:dyDescent="0.4">
      <c r="A1177" s="1" t="s">
        <v>7983</v>
      </c>
      <c r="B1177" s="1" t="s">
        <v>7979</v>
      </c>
      <c r="C1177" s="1" t="s">
        <v>7985</v>
      </c>
      <c r="D1177" s="1" t="s">
        <v>7952</v>
      </c>
      <c r="E1177" s="1" t="s">
        <v>55</v>
      </c>
      <c r="F1177" s="1" t="s">
        <v>17</v>
      </c>
      <c r="G1177" s="4" t="str">
        <f>"08865-3419"</f>
        <v>08865-3419</v>
      </c>
      <c r="H1177" s="1">
        <v>0</v>
      </c>
      <c r="I1177" s="1">
        <v>0</v>
      </c>
      <c r="J1177" s="1">
        <v>0</v>
      </c>
      <c r="K1177" s="1">
        <v>0</v>
      </c>
      <c r="L1177" s="1" t="s">
        <v>6432</v>
      </c>
      <c r="M1177" s="1" t="s">
        <v>2689</v>
      </c>
      <c r="N1177" s="1" t="s">
        <v>13</v>
      </c>
      <c r="O1177" s="1" t="s">
        <v>7984</v>
      </c>
    </row>
    <row r="1178" spans="1:15" x14ac:dyDescent="0.4">
      <c r="A1178" s="1" t="s">
        <v>7986</v>
      </c>
      <c r="B1178" s="1" t="s">
        <v>7979</v>
      </c>
      <c r="C1178" s="1" t="s">
        <v>7989</v>
      </c>
      <c r="D1178" s="1" t="s">
        <v>7952</v>
      </c>
      <c r="E1178" s="1" t="s">
        <v>55</v>
      </c>
      <c r="F1178" s="1" t="s">
        <v>17</v>
      </c>
      <c r="G1178" s="4" t="str">
        <f>"08865"</f>
        <v>08865</v>
      </c>
      <c r="H1178" s="1">
        <v>0</v>
      </c>
      <c r="I1178" s="1">
        <v>0</v>
      </c>
      <c r="J1178" s="1">
        <v>0</v>
      </c>
      <c r="K1178" s="1">
        <v>0</v>
      </c>
      <c r="L1178" s="1" t="s">
        <v>1653</v>
      </c>
      <c r="M1178" s="1" t="s">
        <v>7987</v>
      </c>
      <c r="N1178" s="1" t="s">
        <v>13</v>
      </c>
      <c r="O1178" s="1" t="s">
        <v>7988</v>
      </c>
    </row>
    <row r="1179" spans="1:15" x14ac:dyDescent="0.4">
      <c r="A1179" s="1" t="s">
        <v>7990</v>
      </c>
      <c r="B1179" s="1" t="s">
        <v>7979</v>
      </c>
      <c r="C1179" s="1" t="s">
        <v>7994</v>
      </c>
      <c r="D1179" s="1" t="s">
        <v>7952</v>
      </c>
      <c r="E1179" s="1" t="s">
        <v>55</v>
      </c>
      <c r="F1179" s="1" t="s">
        <v>17</v>
      </c>
      <c r="G1179" s="4" t="str">
        <f>"08865"</f>
        <v>08865</v>
      </c>
      <c r="H1179" s="1">
        <v>0</v>
      </c>
      <c r="I1179" s="1">
        <v>0</v>
      </c>
      <c r="J1179" s="1">
        <v>0</v>
      </c>
      <c r="K1179" s="1">
        <v>0</v>
      </c>
      <c r="L1179" s="1" t="s">
        <v>7991</v>
      </c>
      <c r="M1179" s="1" t="s">
        <v>7992</v>
      </c>
      <c r="N1179" s="1" t="s">
        <v>13</v>
      </c>
      <c r="O1179" s="1" t="s">
        <v>7993</v>
      </c>
    </row>
    <row r="1180" spans="1:15" x14ac:dyDescent="0.4">
      <c r="A1180" s="1" t="s">
        <v>1140</v>
      </c>
      <c r="B1180" s="1" t="s">
        <v>1134</v>
      </c>
      <c r="C1180" s="1" t="s">
        <v>1144</v>
      </c>
      <c r="D1180" s="1" t="s">
        <v>1139</v>
      </c>
      <c r="E1180" s="1" t="s">
        <v>8018</v>
      </c>
      <c r="F1180" s="1" t="s">
        <v>17</v>
      </c>
      <c r="G1180" s="4" t="str">
        <f>"07070-2333"</f>
        <v>07070-2333</v>
      </c>
      <c r="H1180" s="1">
        <v>0</v>
      </c>
      <c r="I1180" s="1">
        <v>0</v>
      </c>
      <c r="J1180" s="1">
        <v>0</v>
      </c>
      <c r="K1180" s="1">
        <v>0</v>
      </c>
      <c r="L1180" s="1" t="s">
        <v>1141</v>
      </c>
      <c r="M1180" s="1" t="s">
        <v>1142</v>
      </c>
      <c r="N1180" s="1" t="s">
        <v>13</v>
      </c>
      <c r="O1180" s="1" t="s">
        <v>1143</v>
      </c>
    </row>
    <row r="1181" spans="1:15" x14ac:dyDescent="0.4">
      <c r="A1181" s="1" t="s">
        <v>3593</v>
      </c>
      <c r="B1181" s="1" t="s">
        <v>3570</v>
      </c>
      <c r="C1181" s="1" t="s">
        <v>3596</v>
      </c>
      <c r="D1181" s="1" t="s">
        <v>3592</v>
      </c>
      <c r="E1181" s="1" t="s">
        <v>8020</v>
      </c>
      <c r="F1181" s="1" t="s">
        <v>17</v>
      </c>
      <c r="G1181" s="4" t="str">
        <f>"08090"</f>
        <v>08090</v>
      </c>
      <c r="H1181" s="1">
        <v>0</v>
      </c>
      <c r="I1181" s="1">
        <v>0</v>
      </c>
      <c r="J1181" s="1">
        <v>0</v>
      </c>
      <c r="K1181" s="1">
        <v>298</v>
      </c>
      <c r="L1181" s="1" t="s">
        <v>3594</v>
      </c>
      <c r="M1181" s="1" t="s">
        <v>39</v>
      </c>
      <c r="N1181" s="1" t="s">
        <v>13</v>
      </c>
      <c r="O1181" s="1" t="s">
        <v>3595</v>
      </c>
    </row>
    <row r="1182" spans="1:15" x14ac:dyDescent="0.4">
      <c r="A1182" s="1" t="s">
        <v>6488</v>
      </c>
      <c r="B1182" s="1" t="s">
        <v>6474</v>
      </c>
      <c r="C1182" s="1" t="s">
        <v>6491</v>
      </c>
      <c r="D1182" s="1" t="s">
        <v>6492</v>
      </c>
      <c r="E1182" s="1" t="s">
        <v>8028</v>
      </c>
      <c r="F1182" s="1" t="s">
        <v>17</v>
      </c>
      <c r="G1182" s="4" t="str">
        <f>"08741"</f>
        <v>08741</v>
      </c>
      <c r="H1182" s="1">
        <v>0</v>
      </c>
      <c r="I1182" s="1">
        <v>0</v>
      </c>
      <c r="J1182" s="1">
        <v>0</v>
      </c>
      <c r="K1182" s="1">
        <v>49</v>
      </c>
      <c r="L1182" s="1" t="s">
        <v>2403</v>
      </c>
      <c r="M1182" s="1" t="s">
        <v>6489</v>
      </c>
      <c r="N1182" s="1" t="s">
        <v>13</v>
      </c>
      <c r="O1182" s="1" t="s">
        <v>6490</v>
      </c>
    </row>
    <row r="1183" spans="1:15" x14ac:dyDescent="0.4">
      <c r="A1183" s="1" t="s">
        <v>5407</v>
      </c>
      <c r="B1183" s="1" t="s">
        <v>5389</v>
      </c>
      <c r="C1183" s="1" t="s">
        <v>5410</v>
      </c>
      <c r="D1183" s="1" t="s">
        <v>5398</v>
      </c>
      <c r="E1183" s="1" t="s">
        <v>8027</v>
      </c>
      <c r="F1183" s="1" t="s">
        <v>17</v>
      </c>
      <c r="G1183" s="4" t="str">
        <f>"07726-3598"</f>
        <v>07726-3598</v>
      </c>
      <c r="H1183" s="1">
        <v>0</v>
      </c>
      <c r="I1183" s="1">
        <v>0</v>
      </c>
      <c r="J1183" s="1">
        <v>0</v>
      </c>
      <c r="K1183" s="1">
        <v>0</v>
      </c>
      <c r="L1183" s="1" t="s">
        <v>258</v>
      </c>
      <c r="M1183" s="1" t="s">
        <v>5408</v>
      </c>
      <c r="N1183" s="1" t="s">
        <v>13</v>
      </c>
      <c r="O1183" s="1" t="s">
        <v>5409</v>
      </c>
    </row>
    <row r="1184" spans="1:15" x14ac:dyDescent="0.4">
      <c r="A1184" s="1" t="s">
        <v>2227</v>
      </c>
      <c r="B1184" s="1" t="s">
        <v>2221</v>
      </c>
      <c r="C1184" s="1" t="s">
        <v>2231</v>
      </c>
      <c r="D1184" s="1" t="s">
        <v>2222</v>
      </c>
      <c r="E1184" s="1" t="s">
        <v>1909</v>
      </c>
      <c r="F1184" s="1" t="s">
        <v>17</v>
      </c>
      <c r="G1184" s="4" t="str">
        <f>"08021"</f>
        <v>08021</v>
      </c>
      <c r="H1184" s="1">
        <v>0</v>
      </c>
      <c r="I1184" s="1">
        <v>0</v>
      </c>
      <c r="J1184" s="1">
        <v>0</v>
      </c>
      <c r="K1184" s="1">
        <v>0</v>
      </c>
      <c r="L1184" s="1" t="s">
        <v>2228</v>
      </c>
      <c r="M1184" s="1" t="s">
        <v>2229</v>
      </c>
      <c r="N1184" s="1" t="s">
        <v>13</v>
      </c>
      <c r="O1184" s="1" t="s">
        <v>2230</v>
      </c>
    </row>
    <row r="1185" spans="1:15" x14ac:dyDescent="0.4">
      <c r="A1185" s="1" t="s">
        <v>6411</v>
      </c>
      <c r="B1185" s="1" t="s">
        <v>6410</v>
      </c>
      <c r="C1185" s="1" t="s">
        <v>6413</v>
      </c>
      <c r="D1185" s="1" t="s">
        <v>6360</v>
      </c>
      <c r="E1185" s="1" t="s">
        <v>8028</v>
      </c>
      <c r="F1185" s="1" t="s">
        <v>17</v>
      </c>
      <c r="G1185" s="4" t="str">
        <f>"08087-0248"</f>
        <v>08087-0248</v>
      </c>
      <c r="H1185" s="1">
        <v>0</v>
      </c>
      <c r="I1185" s="1">
        <v>0</v>
      </c>
      <c r="J1185" s="1">
        <v>0</v>
      </c>
      <c r="K1185" s="1">
        <v>0</v>
      </c>
      <c r="L1185" s="1" t="s">
        <v>987</v>
      </c>
      <c r="M1185" s="1" t="s">
        <v>6162</v>
      </c>
      <c r="N1185" s="1" t="s">
        <v>13</v>
      </c>
      <c r="O1185" s="1" t="s">
        <v>6412</v>
      </c>
    </row>
    <row r="1186" spans="1:15" x14ac:dyDescent="0.4">
      <c r="A1186" s="1" t="s">
        <v>6414</v>
      </c>
      <c r="B1186" s="1" t="s">
        <v>6410</v>
      </c>
      <c r="C1186" s="1" t="s">
        <v>6417</v>
      </c>
      <c r="D1186" s="1" t="s">
        <v>6360</v>
      </c>
      <c r="E1186" s="1" t="s">
        <v>8028</v>
      </c>
      <c r="F1186" s="1" t="s">
        <v>17</v>
      </c>
      <c r="G1186" s="4" t="str">
        <f>"08087-0248"</f>
        <v>08087-0248</v>
      </c>
      <c r="H1186" s="1">
        <v>0</v>
      </c>
      <c r="I1186" s="1">
        <v>0</v>
      </c>
      <c r="J1186" s="1">
        <v>0</v>
      </c>
      <c r="K1186" s="1">
        <v>0</v>
      </c>
      <c r="L1186" s="1" t="s">
        <v>123</v>
      </c>
      <c r="M1186" s="1" t="s">
        <v>6415</v>
      </c>
      <c r="N1186" s="1" t="s">
        <v>13</v>
      </c>
      <c r="O1186" s="1" t="s">
        <v>6416</v>
      </c>
    </row>
    <row r="1187" spans="1:15" x14ac:dyDescent="0.4">
      <c r="A1187" s="1" t="s">
        <v>6884</v>
      </c>
      <c r="B1187" s="1" t="s">
        <v>6857</v>
      </c>
      <c r="C1187" s="1" t="s">
        <v>6888</v>
      </c>
      <c r="D1187" s="1" t="s">
        <v>6682</v>
      </c>
      <c r="E1187" s="1" t="s">
        <v>2670</v>
      </c>
      <c r="F1187" s="1" t="s">
        <v>17</v>
      </c>
      <c r="G1187" s="4" t="str">
        <f>"07470"</f>
        <v>07470</v>
      </c>
      <c r="H1187" s="1">
        <v>0</v>
      </c>
      <c r="I1187" s="1">
        <v>0</v>
      </c>
      <c r="J1187" s="1">
        <v>0</v>
      </c>
      <c r="K1187" s="1">
        <v>55</v>
      </c>
      <c r="L1187" s="1" t="s">
        <v>6885</v>
      </c>
      <c r="M1187" s="1" t="s">
        <v>6886</v>
      </c>
      <c r="N1187" s="1" t="s">
        <v>13</v>
      </c>
      <c r="O1187" s="1" t="s">
        <v>6887</v>
      </c>
    </row>
    <row r="1188" spans="1:15" x14ac:dyDescent="0.4">
      <c r="A1188" s="1" t="s">
        <v>7673</v>
      </c>
      <c r="B1188" s="1" t="s">
        <v>7630</v>
      </c>
      <c r="C1188" s="1" t="s">
        <v>7677</v>
      </c>
      <c r="D1188" s="1" t="s">
        <v>2763</v>
      </c>
      <c r="E1188" s="1" t="s">
        <v>7833</v>
      </c>
      <c r="F1188" s="1" t="s">
        <v>17</v>
      </c>
      <c r="G1188" s="4" t="str">
        <f>"07062"</f>
        <v>07062</v>
      </c>
      <c r="H1188" s="1">
        <v>0</v>
      </c>
      <c r="I1188" s="1">
        <v>0</v>
      </c>
      <c r="J1188" s="1">
        <v>0</v>
      </c>
      <c r="K1188" s="1">
        <v>0</v>
      </c>
      <c r="L1188" s="1" t="s">
        <v>7674</v>
      </c>
      <c r="M1188" s="1" t="s">
        <v>7675</v>
      </c>
      <c r="N1188" s="1" t="s">
        <v>91</v>
      </c>
      <c r="O1188" s="1" t="s">
        <v>7676</v>
      </c>
    </row>
    <row r="1189" spans="1:15" x14ac:dyDescent="0.4">
      <c r="A1189" s="1" t="s">
        <v>4720</v>
      </c>
      <c r="B1189" s="1" t="s">
        <v>4705</v>
      </c>
      <c r="C1189" s="1" t="s">
        <v>4723</v>
      </c>
      <c r="D1189" s="1" t="s">
        <v>4631</v>
      </c>
      <c r="E1189" s="1" t="s">
        <v>4704</v>
      </c>
      <c r="F1189" s="1" t="s">
        <v>17</v>
      </c>
      <c r="G1189" s="4" t="str">
        <f>"08854-5715"</f>
        <v>08854-5715</v>
      </c>
      <c r="H1189" s="1">
        <v>0</v>
      </c>
      <c r="I1189" s="1">
        <v>0</v>
      </c>
      <c r="J1189" s="1">
        <v>0</v>
      </c>
      <c r="K1189" s="1">
        <v>0</v>
      </c>
      <c r="L1189" s="1" t="s">
        <v>43</v>
      </c>
      <c r="M1189" s="1" t="s">
        <v>4721</v>
      </c>
      <c r="N1189" s="1" t="s">
        <v>13</v>
      </c>
      <c r="O1189" s="1" t="s">
        <v>4722</v>
      </c>
    </row>
    <row r="1190" spans="1:15" x14ac:dyDescent="0.4">
      <c r="A1190" s="1" t="s">
        <v>4642</v>
      </c>
      <c r="B1190" s="1" t="s">
        <v>4629</v>
      </c>
      <c r="C1190" s="1" t="s">
        <v>4645</v>
      </c>
      <c r="D1190" s="1" t="s">
        <v>4631</v>
      </c>
      <c r="E1190" s="1" t="s">
        <v>4704</v>
      </c>
      <c r="F1190" s="1" t="s">
        <v>17</v>
      </c>
      <c r="G1190" s="4" t="str">
        <f>"08854-5917"</f>
        <v>08854-5917</v>
      </c>
      <c r="H1190" s="1">
        <v>0</v>
      </c>
      <c r="I1190" s="1">
        <v>0</v>
      </c>
      <c r="J1190" s="1">
        <v>0</v>
      </c>
      <c r="K1190" s="1">
        <v>0</v>
      </c>
      <c r="L1190" s="1" t="s">
        <v>1348</v>
      </c>
      <c r="M1190" s="1" t="s">
        <v>4643</v>
      </c>
      <c r="N1190" s="1" t="s">
        <v>13</v>
      </c>
      <c r="O1190" s="1" t="s">
        <v>4644</v>
      </c>
    </row>
    <row r="1191" spans="1:15" x14ac:dyDescent="0.4">
      <c r="A1191" s="1" t="s">
        <v>4923</v>
      </c>
      <c r="B1191" s="1" t="s">
        <v>4900</v>
      </c>
      <c r="C1191" s="1" t="s">
        <v>4926</v>
      </c>
      <c r="D1191" s="1" t="s">
        <v>4631</v>
      </c>
      <c r="E1191" s="1" t="s">
        <v>4704</v>
      </c>
      <c r="F1191" s="1" t="s">
        <v>17</v>
      </c>
      <c r="G1191" s="4" t="str">
        <f>"08854"</f>
        <v>08854</v>
      </c>
      <c r="H1191" s="1">
        <v>0</v>
      </c>
      <c r="I1191" s="1">
        <v>0</v>
      </c>
      <c r="J1191" s="1">
        <v>0</v>
      </c>
      <c r="K1191" s="1">
        <v>0</v>
      </c>
      <c r="L1191" s="1" t="s">
        <v>380</v>
      </c>
      <c r="M1191" s="1" t="s">
        <v>4924</v>
      </c>
      <c r="N1191" s="1" t="s">
        <v>13</v>
      </c>
      <c r="O1191" s="1" t="s">
        <v>4925</v>
      </c>
    </row>
    <row r="1192" spans="1:15" x14ac:dyDescent="0.4">
      <c r="A1192" s="1" t="s">
        <v>3701</v>
      </c>
      <c r="B1192" s="1" t="s">
        <v>3699</v>
      </c>
      <c r="C1192" s="1" t="s">
        <v>3703</v>
      </c>
      <c r="D1192" s="1" t="s">
        <v>3700</v>
      </c>
      <c r="E1192" s="1" t="s">
        <v>8020</v>
      </c>
      <c r="F1192" s="1" t="s">
        <v>17</v>
      </c>
      <c r="G1192" s="4" t="str">
        <f>"08071-1014"</f>
        <v>08071-1014</v>
      </c>
      <c r="H1192" s="1">
        <v>0</v>
      </c>
      <c r="I1192" s="1">
        <v>0</v>
      </c>
      <c r="J1192" s="1">
        <v>0</v>
      </c>
      <c r="K1192" s="1">
        <v>0</v>
      </c>
      <c r="L1192" s="1" t="s">
        <v>2344</v>
      </c>
      <c r="M1192" s="1" t="s">
        <v>1503</v>
      </c>
      <c r="N1192" s="1" t="s">
        <v>13</v>
      </c>
      <c r="O1192" s="1" t="s">
        <v>3702</v>
      </c>
    </row>
    <row r="1193" spans="1:15" x14ac:dyDescent="0.4">
      <c r="A1193" s="1" t="s">
        <v>3704</v>
      </c>
      <c r="B1193" s="1" t="s">
        <v>3699</v>
      </c>
      <c r="C1193" s="1" t="s">
        <v>3707</v>
      </c>
      <c r="D1193" s="1" t="s">
        <v>3700</v>
      </c>
      <c r="E1193" s="1" t="s">
        <v>8020</v>
      </c>
      <c r="F1193" s="1" t="s">
        <v>17</v>
      </c>
      <c r="G1193" s="4" t="str">
        <f>"08071-1014"</f>
        <v>08071-1014</v>
      </c>
      <c r="H1193" s="1">
        <v>0</v>
      </c>
      <c r="I1193" s="1">
        <v>0</v>
      </c>
      <c r="J1193" s="1">
        <v>0</v>
      </c>
      <c r="K1193" s="1">
        <v>0</v>
      </c>
      <c r="L1193" s="1" t="s">
        <v>3705</v>
      </c>
      <c r="M1193" s="1" t="s">
        <v>3613</v>
      </c>
      <c r="N1193" s="1" t="s">
        <v>13</v>
      </c>
      <c r="O1193" s="1" t="s">
        <v>3706</v>
      </c>
    </row>
    <row r="1194" spans="1:15" x14ac:dyDescent="0.4">
      <c r="A1194" s="1" t="s">
        <v>7005</v>
      </c>
      <c r="B1194" s="1" t="s">
        <v>6991</v>
      </c>
      <c r="C1194" s="1" t="s">
        <v>7007</v>
      </c>
      <c r="D1194" s="1" t="s">
        <v>6996</v>
      </c>
      <c r="E1194" s="1" t="s">
        <v>8029</v>
      </c>
      <c r="F1194" s="1" t="s">
        <v>17</v>
      </c>
      <c r="G1194" s="4" t="str">
        <f>"08318"</f>
        <v>08318</v>
      </c>
      <c r="H1194" s="1">
        <v>0</v>
      </c>
      <c r="I1194" s="1">
        <v>0</v>
      </c>
      <c r="J1194" s="1">
        <v>0</v>
      </c>
      <c r="K1194" s="1">
        <v>0</v>
      </c>
      <c r="L1194" s="1" t="s">
        <v>329</v>
      </c>
      <c r="M1194" s="1" t="s">
        <v>6962</v>
      </c>
      <c r="N1194" s="1" t="s">
        <v>13</v>
      </c>
      <c r="O1194" s="1" t="s">
        <v>7006</v>
      </c>
    </row>
    <row r="1195" spans="1:15" x14ac:dyDescent="0.4">
      <c r="A1195" s="1" t="s">
        <v>7678</v>
      </c>
      <c r="B1195" s="1" t="s">
        <v>7630</v>
      </c>
      <c r="C1195" s="1" t="s">
        <v>7681</v>
      </c>
      <c r="D1195" s="1" t="s">
        <v>2763</v>
      </c>
      <c r="E1195" s="1" t="s">
        <v>7833</v>
      </c>
      <c r="F1195" s="1" t="s">
        <v>17</v>
      </c>
      <c r="G1195" s="4" t="str">
        <f>"07063"</f>
        <v>07063</v>
      </c>
      <c r="H1195" s="1">
        <v>0</v>
      </c>
      <c r="I1195" s="1">
        <v>0</v>
      </c>
      <c r="J1195" s="1">
        <v>0</v>
      </c>
      <c r="K1195" s="1">
        <v>0</v>
      </c>
      <c r="L1195" s="1" t="s">
        <v>1008</v>
      </c>
      <c r="M1195" s="1" t="s">
        <v>7679</v>
      </c>
      <c r="N1195" s="1" t="s">
        <v>13</v>
      </c>
      <c r="O1195" s="1" t="s">
        <v>7680</v>
      </c>
    </row>
    <row r="1196" spans="1:15" x14ac:dyDescent="0.4">
      <c r="A1196" s="1" t="s">
        <v>7682</v>
      </c>
      <c r="B1196" s="1" t="s">
        <v>7630</v>
      </c>
      <c r="C1196" s="1" t="s">
        <v>7686</v>
      </c>
      <c r="D1196" s="1" t="s">
        <v>2763</v>
      </c>
      <c r="E1196" s="1" t="s">
        <v>7833</v>
      </c>
      <c r="F1196" s="1" t="s">
        <v>17</v>
      </c>
      <c r="G1196" s="4" t="str">
        <f>"07060-3002"</f>
        <v>07060-3002</v>
      </c>
      <c r="H1196" s="1">
        <v>0</v>
      </c>
      <c r="I1196" s="1">
        <v>0</v>
      </c>
      <c r="J1196" s="1">
        <v>0</v>
      </c>
      <c r="K1196" s="1">
        <v>0</v>
      </c>
      <c r="L1196" s="1" t="s">
        <v>7683</v>
      </c>
      <c r="M1196" s="1" t="s">
        <v>7684</v>
      </c>
      <c r="N1196" s="1" t="s">
        <v>13</v>
      </c>
      <c r="O1196" s="1" t="s">
        <v>7685</v>
      </c>
    </row>
    <row r="1197" spans="1:15" x14ac:dyDescent="0.4">
      <c r="A1197" s="1" t="s">
        <v>3650</v>
      </c>
      <c r="B1197" s="1" t="s">
        <v>3649</v>
      </c>
      <c r="C1197" s="1" t="s">
        <v>3652</v>
      </c>
      <c r="D1197" s="1" t="s">
        <v>3555</v>
      </c>
      <c r="E1197" s="1" t="s">
        <v>8020</v>
      </c>
      <c r="F1197" s="1" t="s">
        <v>17</v>
      </c>
      <c r="G1197" s="4" t="str">
        <f>"08062-9494"</f>
        <v>08062-9494</v>
      </c>
      <c r="H1197" s="1">
        <v>0</v>
      </c>
      <c r="I1197" s="1">
        <v>0</v>
      </c>
      <c r="J1197" s="1">
        <v>0</v>
      </c>
      <c r="K1197" s="1">
        <v>0</v>
      </c>
      <c r="L1197" s="1" t="s">
        <v>71</v>
      </c>
      <c r="M1197" s="1" t="s">
        <v>883</v>
      </c>
      <c r="N1197" s="1" t="s">
        <v>13</v>
      </c>
      <c r="O1197" s="1" t="s">
        <v>3651</v>
      </c>
    </row>
    <row r="1198" spans="1:15" x14ac:dyDescent="0.4">
      <c r="A1198" s="1" t="s">
        <v>237</v>
      </c>
      <c r="B1198" s="1" t="s">
        <v>233</v>
      </c>
      <c r="C1198" s="1" t="s">
        <v>240</v>
      </c>
      <c r="D1198" s="1" t="s">
        <v>234</v>
      </c>
      <c r="E1198" s="1" t="s">
        <v>8017</v>
      </c>
      <c r="F1198" s="1" t="s">
        <v>17</v>
      </c>
      <c r="G1198" s="4" t="str">
        <f>"08232"</f>
        <v>08232</v>
      </c>
      <c r="H1198" s="1">
        <v>0</v>
      </c>
      <c r="I1198" s="1">
        <v>0</v>
      </c>
      <c r="J1198" s="1">
        <v>0</v>
      </c>
      <c r="K1198" s="1">
        <v>0</v>
      </c>
      <c r="L1198" s="1" t="s">
        <v>235</v>
      </c>
      <c r="M1198" s="1" t="s">
        <v>238</v>
      </c>
      <c r="N1198" s="1" t="s">
        <v>13</v>
      </c>
      <c r="O1198" s="1" t="s">
        <v>239</v>
      </c>
    </row>
    <row r="1199" spans="1:15" x14ac:dyDescent="0.4">
      <c r="A1199" s="1" t="s">
        <v>6433</v>
      </c>
      <c r="B1199" s="1" t="s">
        <v>6427</v>
      </c>
      <c r="C1199" s="1" t="s">
        <v>6437</v>
      </c>
      <c r="D1199" s="1" t="s">
        <v>6431</v>
      </c>
      <c r="E1199" s="1" t="s">
        <v>8028</v>
      </c>
      <c r="F1199" s="1" t="s">
        <v>17</v>
      </c>
      <c r="G1199" s="4" t="str">
        <f>"08742"</f>
        <v>08742</v>
      </c>
      <c r="H1199" s="1">
        <v>0</v>
      </c>
      <c r="I1199" s="1">
        <v>0</v>
      </c>
      <c r="J1199" s="1">
        <v>0</v>
      </c>
      <c r="K1199" s="1">
        <v>0</v>
      </c>
      <c r="L1199" s="1" t="s">
        <v>6434</v>
      </c>
      <c r="M1199" s="1" t="s">
        <v>6435</v>
      </c>
      <c r="N1199" s="1" t="s">
        <v>13</v>
      </c>
      <c r="O1199" s="1" t="s">
        <v>6436</v>
      </c>
    </row>
    <row r="1200" spans="1:15" x14ac:dyDescent="0.4">
      <c r="A1200" s="1" t="s">
        <v>6450</v>
      </c>
      <c r="B1200" s="1" t="s">
        <v>6438</v>
      </c>
      <c r="C1200" s="1" t="s">
        <v>6454</v>
      </c>
      <c r="D1200" s="1" t="s">
        <v>6441</v>
      </c>
      <c r="E1200" s="1" t="s">
        <v>8028</v>
      </c>
      <c r="F1200" s="1" t="s">
        <v>17</v>
      </c>
      <c r="G1200" s="4" t="str">
        <f>"08742"</f>
        <v>08742</v>
      </c>
      <c r="H1200" s="1">
        <v>0</v>
      </c>
      <c r="I1200" s="1">
        <v>0</v>
      </c>
      <c r="J1200" s="1">
        <v>0</v>
      </c>
      <c r="K1200" s="1">
        <v>0</v>
      </c>
      <c r="L1200" s="1" t="s">
        <v>6451</v>
      </c>
      <c r="M1200" s="1" t="s">
        <v>6452</v>
      </c>
      <c r="N1200" s="1" t="s">
        <v>13</v>
      </c>
      <c r="O1200" s="1" t="s">
        <v>6453</v>
      </c>
    </row>
    <row r="1201" spans="1:15" x14ac:dyDescent="0.4">
      <c r="A1201" s="1" t="s">
        <v>5384</v>
      </c>
      <c r="B1201" s="1" t="s">
        <v>5379</v>
      </c>
      <c r="C1201" s="1" t="s">
        <v>5388</v>
      </c>
      <c r="D1201" s="1" t="s">
        <v>5383</v>
      </c>
      <c r="E1201" s="1" t="s">
        <v>8027</v>
      </c>
      <c r="F1201" s="1" t="s">
        <v>17</v>
      </c>
      <c r="G1201" s="4" t="str">
        <f>"07739-1799"</f>
        <v>07739-1799</v>
      </c>
      <c r="H1201" s="1">
        <v>3</v>
      </c>
      <c r="I1201" s="1">
        <v>0.8</v>
      </c>
      <c r="J1201" s="1">
        <v>0</v>
      </c>
      <c r="K1201" s="1">
        <v>73</v>
      </c>
      <c r="L1201" s="1" t="s">
        <v>5385</v>
      </c>
      <c r="M1201" s="1" t="s">
        <v>5386</v>
      </c>
      <c r="N1201" s="1" t="s">
        <v>13</v>
      </c>
      <c r="O1201" s="1" t="s">
        <v>5387</v>
      </c>
    </row>
    <row r="1202" spans="1:15" x14ac:dyDescent="0.4">
      <c r="A1202" s="1" t="s">
        <v>3972</v>
      </c>
      <c r="B1202" s="1" t="s">
        <v>3961</v>
      </c>
      <c r="C1202" s="1" t="s">
        <v>3976</v>
      </c>
      <c r="D1202" s="1" t="s">
        <v>3977</v>
      </c>
      <c r="E1202" s="1" t="s">
        <v>3646</v>
      </c>
      <c r="F1202" s="1" t="s">
        <v>17</v>
      </c>
      <c r="G1202" s="4" t="str">
        <f>"07047"</f>
        <v>07047</v>
      </c>
      <c r="H1202" s="1">
        <v>0</v>
      </c>
      <c r="I1202" s="1">
        <v>0</v>
      </c>
      <c r="J1202" s="1">
        <v>0</v>
      </c>
      <c r="K1202" s="1">
        <v>27</v>
      </c>
      <c r="L1202" s="1" t="s">
        <v>3973</v>
      </c>
      <c r="M1202" s="1" t="s">
        <v>3974</v>
      </c>
      <c r="N1202" s="1" t="s">
        <v>13</v>
      </c>
      <c r="O1202" s="1" t="s">
        <v>3975</v>
      </c>
    </row>
    <row r="1203" spans="1:15" x14ac:dyDescent="0.4">
      <c r="A1203" s="1" t="s">
        <v>6825</v>
      </c>
      <c r="B1203" s="1" t="s">
        <v>6813</v>
      </c>
      <c r="C1203" s="1" t="s">
        <v>6827</v>
      </c>
      <c r="D1203" s="1" t="s">
        <v>6818</v>
      </c>
      <c r="E1203" s="1" t="s">
        <v>2670</v>
      </c>
      <c r="F1203" s="1" t="s">
        <v>17</v>
      </c>
      <c r="G1203" s="4" t="str">
        <f>"07442-1793"</f>
        <v>07442-1793</v>
      </c>
      <c r="H1203" s="1">
        <v>0</v>
      </c>
      <c r="I1203" s="1">
        <v>0</v>
      </c>
      <c r="J1203" s="1">
        <v>0</v>
      </c>
      <c r="K1203" s="1">
        <v>0</v>
      </c>
      <c r="L1203" s="1" t="s">
        <v>153</v>
      </c>
      <c r="M1203" s="1" t="s">
        <v>1060</v>
      </c>
      <c r="N1203" s="1" t="s">
        <v>13</v>
      </c>
      <c r="O1203" s="1" t="s">
        <v>6826</v>
      </c>
    </row>
    <row r="1204" spans="1:15" x14ac:dyDescent="0.4">
      <c r="A1204" s="1" t="s">
        <v>8011</v>
      </c>
      <c r="B1204" s="1" t="s">
        <v>3741</v>
      </c>
      <c r="C1204" s="1" t="s">
        <v>8014</v>
      </c>
      <c r="D1204" s="1" t="s">
        <v>7908</v>
      </c>
      <c r="E1204" s="1" t="s">
        <v>55</v>
      </c>
      <c r="F1204" s="1" t="s">
        <v>17</v>
      </c>
      <c r="G1204" s="4" t="str">
        <f>"07882-9475"</f>
        <v>07882-9475</v>
      </c>
      <c r="H1204" s="1">
        <v>0</v>
      </c>
      <c r="I1204" s="1">
        <v>0</v>
      </c>
      <c r="J1204" s="1">
        <v>0</v>
      </c>
      <c r="K1204" s="1">
        <v>4</v>
      </c>
      <c r="L1204" s="1" t="s">
        <v>18</v>
      </c>
      <c r="M1204" s="1" t="s">
        <v>8012</v>
      </c>
      <c r="N1204" s="1" t="s">
        <v>13</v>
      </c>
      <c r="O1204" s="1" t="s">
        <v>8013</v>
      </c>
    </row>
    <row r="1205" spans="1:15" x14ac:dyDescent="0.4">
      <c r="A1205" s="1" t="s">
        <v>5110</v>
      </c>
      <c r="B1205" s="1" t="s">
        <v>5044</v>
      </c>
      <c r="C1205" s="1" t="s">
        <v>5113</v>
      </c>
      <c r="D1205" s="1" t="s">
        <v>5114</v>
      </c>
      <c r="E1205" s="1" t="s">
        <v>4704</v>
      </c>
      <c r="F1205" s="1" t="s">
        <v>17</v>
      </c>
      <c r="G1205" s="4" t="str">
        <f>"07064-1326"</f>
        <v>07064-1326</v>
      </c>
      <c r="H1205" s="1">
        <v>0</v>
      </c>
      <c r="I1205" s="1">
        <v>0</v>
      </c>
      <c r="J1205" s="1">
        <v>0</v>
      </c>
      <c r="K1205" s="1">
        <v>44</v>
      </c>
      <c r="L1205" s="1" t="s">
        <v>130</v>
      </c>
      <c r="M1205" s="1" t="s">
        <v>5111</v>
      </c>
      <c r="N1205" s="1" t="s">
        <v>13</v>
      </c>
      <c r="O1205" s="1" t="s">
        <v>5112</v>
      </c>
    </row>
    <row r="1206" spans="1:15" x14ac:dyDescent="0.4">
      <c r="A1206" s="1" t="s">
        <v>249</v>
      </c>
      <c r="B1206" s="1" t="s">
        <v>248</v>
      </c>
      <c r="C1206" s="1" t="s">
        <v>253</v>
      </c>
      <c r="D1206" s="1" t="s">
        <v>254</v>
      </c>
      <c r="E1206" s="1" t="s">
        <v>8017</v>
      </c>
      <c r="F1206" s="1" t="s">
        <v>17</v>
      </c>
      <c r="G1206" s="4" t="str">
        <f>"08241"</f>
        <v>08241</v>
      </c>
      <c r="H1206" s="1">
        <v>0</v>
      </c>
      <c r="I1206" s="1">
        <v>0</v>
      </c>
      <c r="J1206" s="1">
        <v>0</v>
      </c>
      <c r="K1206" s="1">
        <v>9</v>
      </c>
      <c r="L1206" s="1" t="s">
        <v>250</v>
      </c>
      <c r="M1206" s="1" t="s">
        <v>251</v>
      </c>
      <c r="N1206" s="1" t="s">
        <v>129</v>
      </c>
      <c r="O1206" s="1" t="s">
        <v>252</v>
      </c>
    </row>
    <row r="1207" spans="1:15" x14ac:dyDescent="0.4">
      <c r="A1207" s="1" t="s">
        <v>2691</v>
      </c>
      <c r="B1207" s="1" t="s">
        <v>2690</v>
      </c>
      <c r="C1207" s="1" t="s">
        <v>2695</v>
      </c>
      <c r="D1207" s="1" t="s">
        <v>2536</v>
      </c>
      <c r="E1207" s="1" t="s">
        <v>8022</v>
      </c>
      <c r="F1207" s="1" t="s">
        <v>17</v>
      </c>
      <c r="G1207" s="4" t="str">
        <f>"07018"</f>
        <v>07018</v>
      </c>
      <c r="H1207" s="1">
        <v>0</v>
      </c>
      <c r="I1207" s="1">
        <v>0</v>
      </c>
      <c r="J1207" s="1">
        <v>0</v>
      </c>
      <c r="K1207" s="1">
        <v>0</v>
      </c>
      <c r="L1207" s="1" t="s">
        <v>2692</v>
      </c>
      <c r="M1207" s="1" t="s">
        <v>2693</v>
      </c>
      <c r="N1207" s="1" t="s">
        <v>13</v>
      </c>
      <c r="O1207" s="1" t="s">
        <v>2694</v>
      </c>
    </row>
    <row r="1208" spans="1:15" x14ac:dyDescent="0.4">
      <c r="A1208" s="1" t="s">
        <v>7784</v>
      </c>
      <c r="B1208" s="1" t="s">
        <v>7766</v>
      </c>
      <c r="C1208" s="1" t="s">
        <v>7775</v>
      </c>
      <c r="D1208" s="1" t="s">
        <v>7771</v>
      </c>
      <c r="E1208" s="1" t="s">
        <v>7833</v>
      </c>
      <c r="F1208" s="1" t="s">
        <v>17</v>
      </c>
      <c r="G1208" s="4" t="str">
        <f>"07091"</f>
        <v>07091</v>
      </c>
      <c r="H1208" s="1">
        <v>1</v>
      </c>
      <c r="I1208" s="1">
        <v>0.8</v>
      </c>
      <c r="J1208" s="1">
        <v>0</v>
      </c>
      <c r="K1208" s="1">
        <v>115</v>
      </c>
      <c r="L1208" s="1" t="s">
        <v>378</v>
      </c>
      <c r="M1208" s="1" t="s">
        <v>7785</v>
      </c>
      <c r="N1208" s="1" t="s">
        <v>13</v>
      </c>
      <c r="O1208" s="1" t="s">
        <v>7786</v>
      </c>
    </row>
    <row r="1209" spans="1:15" x14ac:dyDescent="0.4">
      <c r="A1209" s="1" t="s">
        <v>2697</v>
      </c>
      <c r="B1209" s="1" t="s">
        <v>2697</v>
      </c>
      <c r="C1209" s="1" t="s">
        <v>2700</v>
      </c>
      <c r="D1209" s="1" t="s">
        <v>2701</v>
      </c>
      <c r="E1209" s="1" t="s">
        <v>8022</v>
      </c>
      <c r="F1209" s="1" t="s">
        <v>17</v>
      </c>
      <c r="G1209" s="4" t="str">
        <f>"08540-2821"</f>
        <v>08540-2821</v>
      </c>
      <c r="H1209" s="1">
        <v>0</v>
      </c>
      <c r="I1209" s="1">
        <v>0</v>
      </c>
      <c r="J1209" s="1">
        <v>0</v>
      </c>
      <c r="K1209" s="1">
        <v>40</v>
      </c>
      <c r="L1209" s="1" t="s">
        <v>370</v>
      </c>
      <c r="M1209" s="1" t="s">
        <v>2698</v>
      </c>
      <c r="N1209" s="1" t="s">
        <v>1924</v>
      </c>
      <c r="O1209" s="1" t="s">
        <v>2699</v>
      </c>
    </row>
    <row r="1210" spans="1:15" x14ac:dyDescent="0.4">
      <c r="A1210" s="1" t="s">
        <v>4373</v>
      </c>
      <c r="B1210" s="1" t="s">
        <v>4368</v>
      </c>
      <c r="C1210" s="1" t="s">
        <v>4376</v>
      </c>
      <c r="D1210" s="1" t="s">
        <v>2701</v>
      </c>
      <c r="E1210" s="1" t="s">
        <v>8026</v>
      </c>
      <c r="F1210" s="1" t="s">
        <v>17</v>
      </c>
      <c r="G1210" s="4" t="str">
        <f>"08540-3312"</f>
        <v>08540-3312</v>
      </c>
      <c r="H1210" s="1">
        <v>0</v>
      </c>
      <c r="I1210" s="1">
        <v>0</v>
      </c>
      <c r="J1210" s="1">
        <v>0</v>
      </c>
      <c r="K1210" s="1">
        <v>0</v>
      </c>
      <c r="L1210" s="1" t="s">
        <v>703</v>
      </c>
      <c r="M1210" s="1" t="s">
        <v>4374</v>
      </c>
      <c r="N1210" s="1" t="s">
        <v>13</v>
      </c>
      <c r="O1210" s="1" t="s">
        <v>4375</v>
      </c>
    </row>
    <row r="1211" spans="1:15" x14ac:dyDescent="0.4">
      <c r="A1211" s="1" t="s">
        <v>4377</v>
      </c>
      <c r="B1211" s="1" t="s">
        <v>4368</v>
      </c>
      <c r="C1211" s="1" t="s">
        <v>4380</v>
      </c>
      <c r="D1211" s="1" t="s">
        <v>2701</v>
      </c>
      <c r="E1211" s="1" t="s">
        <v>8026</v>
      </c>
      <c r="F1211" s="1" t="s">
        <v>17</v>
      </c>
      <c r="G1211" s="4" t="str">
        <f>"08540"</f>
        <v>08540</v>
      </c>
      <c r="H1211" s="1">
        <v>0</v>
      </c>
      <c r="I1211" s="1">
        <v>0</v>
      </c>
      <c r="J1211" s="1">
        <v>0</v>
      </c>
      <c r="K1211" s="1">
        <v>0</v>
      </c>
      <c r="L1211" s="1" t="s">
        <v>30</v>
      </c>
      <c r="M1211" s="1" t="s">
        <v>4378</v>
      </c>
      <c r="N1211" s="1" t="s">
        <v>13</v>
      </c>
      <c r="O1211" s="1" t="s">
        <v>4379</v>
      </c>
    </row>
    <row r="1212" spans="1:15" x14ac:dyDescent="0.4">
      <c r="A1212" s="1" t="s">
        <v>2702</v>
      </c>
      <c r="B1212" s="1" t="s">
        <v>2702</v>
      </c>
      <c r="C1212" s="1" t="s">
        <v>2705</v>
      </c>
      <c r="D1212" s="1" t="s">
        <v>106</v>
      </c>
      <c r="E1212" s="1" t="s">
        <v>8022</v>
      </c>
      <c r="F1212" s="1" t="s">
        <v>17</v>
      </c>
      <c r="G1212" s="4" t="str">
        <f>"08234"</f>
        <v>08234</v>
      </c>
      <c r="H1212" s="1">
        <v>0</v>
      </c>
      <c r="I1212" s="1">
        <v>0</v>
      </c>
      <c r="J1212" s="1">
        <v>0</v>
      </c>
      <c r="K1212" s="1">
        <v>63</v>
      </c>
      <c r="L1212" s="1" t="s">
        <v>490</v>
      </c>
      <c r="M1212" s="1" t="s">
        <v>2703</v>
      </c>
      <c r="N1212" s="1" t="s">
        <v>1924</v>
      </c>
      <c r="O1212" s="1" t="s">
        <v>2704</v>
      </c>
    </row>
    <row r="1213" spans="1:15" x14ac:dyDescent="0.4">
      <c r="A1213" s="1" t="s">
        <v>6829</v>
      </c>
      <c r="B1213" s="1" t="s">
        <v>6828</v>
      </c>
      <c r="C1213" s="1" t="s">
        <v>6831</v>
      </c>
      <c r="D1213" s="1" t="s">
        <v>6832</v>
      </c>
      <c r="E1213" s="1" t="s">
        <v>2670</v>
      </c>
      <c r="F1213" s="1" t="s">
        <v>17</v>
      </c>
      <c r="G1213" s="4" t="str">
        <f>"07508"</f>
        <v>07508</v>
      </c>
      <c r="H1213" s="1">
        <v>0</v>
      </c>
      <c r="I1213" s="1">
        <v>0</v>
      </c>
      <c r="J1213" s="1">
        <v>0</v>
      </c>
      <c r="K1213" s="1">
        <v>0</v>
      </c>
      <c r="L1213" s="1" t="s">
        <v>128</v>
      </c>
      <c r="M1213" s="1" t="s">
        <v>591</v>
      </c>
      <c r="N1213" s="1" t="s">
        <v>91</v>
      </c>
      <c r="O1213" s="1" t="s">
        <v>6830</v>
      </c>
    </row>
    <row r="1214" spans="1:15" x14ac:dyDescent="0.4">
      <c r="A1214" s="1" t="s">
        <v>4053</v>
      </c>
      <c r="B1214" s="1" t="s">
        <v>4039</v>
      </c>
      <c r="C1214" s="1" t="s">
        <v>4056</v>
      </c>
      <c r="D1214" s="1" t="s">
        <v>4044</v>
      </c>
      <c r="E1214" s="1" t="s">
        <v>3646</v>
      </c>
      <c r="F1214" s="1" t="s">
        <v>17</v>
      </c>
      <c r="G1214" s="4" t="str">
        <f>"07093-2617"</f>
        <v>07093-2617</v>
      </c>
      <c r="H1214" s="1">
        <v>0</v>
      </c>
      <c r="I1214" s="1">
        <v>0</v>
      </c>
      <c r="J1214" s="1">
        <v>0</v>
      </c>
      <c r="K1214" s="1">
        <v>83</v>
      </c>
      <c r="L1214" s="1" t="s">
        <v>917</v>
      </c>
      <c r="M1214" s="1" t="s">
        <v>4054</v>
      </c>
      <c r="N1214" s="1" t="s">
        <v>13</v>
      </c>
      <c r="O1214" s="1" t="s">
        <v>4055</v>
      </c>
    </row>
    <row r="1215" spans="1:15" x14ac:dyDescent="0.4">
      <c r="A1215" s="1" t="s">
        <v>4057</v>
      </c>
      <c r="B1215" s="1" t="s">
        <v>4039</v>
      </c>
      <c r="C1215" s="1" t="s">
        <v>4060</v>
      </c>
      <c r="D1215" s="1" t="s">
        <v>4044</v>
      </c>
      <c r="E1215" s="1" t="s">
        <v>3646</v>
      </c>
      <c r="F1215" s="1" t="s">
        <v>17</v>
      </c>
      <c r="G1215" s="4" t="str">
        <f>"07093-1512"</f>
        <v>07093-1512</v>
      </c>
      <c r="H1215" s="1">
        <v>0</v>
      </c>
      <c r="I1215" s="1">
        <v>0</v>
      </c>
      <c r="J1215" s="1">
        <v>0</v>
      </c>
      <c r="K1215" s="1">
        <v>100</v>
      </c>
      <c r="L1215" s="1" t="s">
        <v>153</v>
      </c>
      <c r="M1215" s="1" t="s">
        <v>4058</v>
      </c>
      <c r="N1215" s="1" t="s">
        <v>13</v>
      </c>
      <c r="O1215" s="1" t="s">
        <v>4059</v>
      </c>
    </row>
    <row r="1216" spans="1:15" x14ac:dyDescent="0.4">
      <c r="A1216" s="1" t="s">
        <v>4062</v>
      </c>
      <c r="B1216" s="1" t="s">
        <v>4039</v>
      </c>
      <c r="C1216" s="1" t="s">
        <v>4065</v>
      </c>
      <c r="D1216" s="1" t="s">
        <v>4044</v>
      </c>
      <c r="E1216" s="1" t="s">
        <v>3646</v>
      </c>
      <c r="F1216" s="1" t="s">
        <v>17</v>
      </c>
      <c r="G1216" s="4" t="str">
        <f>"07093-4626"</f>
        <v>07093-4626</v>
      </c>
      <c r="H1216" s="1">
        <v>0</v>
      </c>
      <c r="I1216" s="1">
        <v>0</v>
      </c>
      <c r="J1216" s="1">
        <v>0</v>
      </c>
      <c r="K1216" s="1">
        <v>70</v>
      </c>
      <c r="L1216" s="1" t="s">
        <v>1639</v>
      </c>
      <c r="M1216" s="1" t="s">
        <v>4063</v>
      </c>
      <c r="N1216" s="1" t="s">
        <v>13</v>
      </c>
      <c r="O1216" s="1" t="s">
        <v>4064</v>
      </c>
    </row>
    <row r="1217" spans="1:15" x14ac:dyDescent="0.4">
      <c r="A1217" s="1" t="s">
        <v>4066</v>
      </c>
      <c r="B1217" s="1" t="s">
        <v>4039</v>
      </c>
      <c r="C1217" s="1" t="s">
        <v>4069</v>
      </c>
      <c r="D1217" s="1" t="s">
        <v>4044</v>
      </c>
      <c r="E1217" s="1" t="s">
        <v>3646</v>
      </c>
      <c r="F1217" s="1" t="s">
        <v>17</v>
      </c>
      <c r="G1217" s="4" t="str">
        <f>"07093-2638"</f>
        <v>07093-2638</v>
      </c>
      <c r="H1217" s="1">
        <v>0</v>
      </c>
      <c r="I1217" s="1">
        <v>0</v>
      </c>
      <c r="J1217" s="1">
        <v>0</v>
      </c>
      <c r="K1217" s="1">
        <v>87</v>
      </c>
      <c r="L1217" s="1" t="s">
        <v>1678</v>
      </c>
      <c r="M1217" s="1" t="s">
        <v>4067</v>
      </c>
      <c r="N1217" s="1" t="s">
        <v>13</v>
      </c>
      <c r="O1217" s="1" t="s">
        <v>4068</v>
      </c>
    </row>
    <row r="1218" spans="1:15" x14ac:dyDescent="0.4">
      <c r="A1218" s="1" t="s">
        <v>4928</v>
      </c>
      <c r="B1218" s="1" t="s">
        <v>4900</v>
      </c>
      <c r="C1218" s="1" t="s">
        <v>4930</v>
      </c>
      <c r="D1218" s="1" t="s">
        <v>4631</v>
      </c>
      <c r="E1218" s="1" t="s">
        <v>4704</v>
      </c>
      <c r="F1218" s="1" t="s">
        <v>17</v>
      </c>
      <c r="G1218" s="4" t="str">
        <f>"08854"</f>
        <v>08854</v>
      </c>
      <c r="H1218" s="1">
        <v>0</v>
      </c>
      <c r="I1218" s="1">
        <v>0</v>
      </c>
      <c r="J1218" s="1">
        <v>0</v>
      </c>
      <c r="K1218" s="1">
        <v>0</v>
      </c>
      <c r="L1218" s="1" t="s">
        <v>356</v>
      </c>
      <c r="M1218" s="1" t="s">
        <v>1342</v>
      </c>
      <c r="N1218" s="1" t="s">
        <v>13</v>
      </c>
      <c r="O1218" s="1" t="s">
        <v>4929</v>
      </c>
    </row>
    <row r="1219" spans="1:15" x14ac:dyDescent="0.4">
      <c r="A1219" s="1" t="s">
        <v>2855</v>
      </c>
      <c r="B1219" s="1" t="s">
        <v>2834</v>
      </c>
      <c r="C1219" s="1" t="s">
        <v>2858</v>
      </c>
      <c r="D1219" s="1" t="s">
        <v>2836</v>
      </c>
      <c r="E1219" s="1" t="s">
        <v>8023</v>
      </c>
      <c r="F1219" s="1" t="s">
        <v>17</v>
      </c>
      <c r="G1219" s="4" t="str">
        <f>"08332"</f>
        <v>08332</v>
      </c>
      <c r="H1219" s="1">
        <v>0</v>
      </c>
      <c r="I1219" s="1">
        <v>0</v>
      </c>
      <c r="J1219" s="1">
        <v>0</v>
      </c>
      <c r="K1219" s="1">
        <v>58</v>
      </c>
      <c r="L1219" s="1" t="s">
        <v>2856</v>
      </c>
      <c r="M1219" s="1" t="s">
        <v>2498</v>
      </c>
      <c r="N1219" s="1" t="s">
        <v>13</v>
      </c>
      <c r="O1219" s="1" t="s">
        <v>2857</v>
      </c>
    </row>
    <row r="1220" spans="1:15" x14ac:dyDescent="0.4">
      <c r="A1220" s="1" t="s">
        <v>587</v>
      </c>
      <c r="B1220" s="1" t="s">
        <v>561</v>
      </c>
      <c r="C1220" s="1" t="s">
        <v>590</v>
      </c>
      <c r="D1220" s="1" t="s">
        <v>567</v>
      </c>
      <c r="E1220" s="1" t="s">
        <v>8018</v>
      </c>
      <c r="F1220" s="1" t="s">
        <v>17</v>
      </c>
      <c r="G1220" s="4" t="str">
        <f>"07410"</f>
        <v>07410</v>
      </c>
      <c r="H1220" s="1">
        <v>0</v>
      </c>
      <c r="I1220" s="1">
        <v>0</v>
      </c>
      <c r="J1220" s="1">
        <v>0</v>
      </c>
      <c r="K1220" s="1">
        <v>77</v>
      </c>
      <c r="L1220" s="1" t="s">
        <v>407</v>
      </c>
      <c r="M1220" s="1" t="s">
        <v>588</v>
      </c>
      <c r="N1220" s="1" t="s">
        <v>13</v>
      </c>
      <c r="O1220" s="1" t="s">
        <v>589</v>
      </c>
    </row>
    <row r="1221" spans="1:15" x14ac:dyDescent="0.4">
      <c r="A1221" s="1" t="s">
        <v>3383</v>
      </c>
      <c r="B1221" s="1" t="s">
        <v>3368</v>
      </c>
      <c r="C1221" s="1" t="s">
        <v>3386</v>
      </c>
      <c r="D1221" s="1" t="s">
        <v>3374</v>
      </c>
      <c r="E1221" s="1" t="s">
        <v>8024</v>
      </c>
      <c r="F1221" s="1" t="s">
        <v>17</v>
      </c>
      <c r="G1221" s="4" t="str">
        <f>"07110-2252"</f>
        <v>07110-2252</v>
      </c>
      <c r="H1221" s="1">
        <v>0</v>
      </c>
      <c r="I1221" s="1">
        <v>0</v>
      </c>
      <c r="J1221" s="1">
        <v>0</v>
      </c>
      <c r="K1221" s="1">
        <v>44</v>
      </c>
      <c r="L1221" s="1" t="s">
        <v>158</v>
      </c>
      <c r="M1221" s="1" t="s">
        <v>3384</v>
      </c>
      <c r="N1221" s="1" t="s">
        <v>13</v>
      </c>
      <c r="O1221" s="1" t="s">
        <v>3385</v>
      </c>
    </row>
    <row r="1222" spans="1:15" x14ac:dyDescent="0.4">
      <c r="A1222" s="1" t="s">
        <v>7689</v>
      </c>
      <c r="B1222" s="1" t="s">
        <v>7687</v>
      </c>
      <c r="C1222" s="1" t="s">
        <v>7692</v>
      </c>
      <c r="D1222" s="1" t="s">
        <v>7688</v>
      </c>
      <c r="E1222" s="1" t="s">
        <v>7833</v>
      </c>
      <c r="F1222" s="1" t="s">
        <v>17</v>
      </c>
      <c r="G1222" s="4" t="str">
        <f>"07065-2003"</f>
        <v>07065-2003</v>
      </c>
      <c r="H1222" s="1">
        <v>0</v>
      </c>
      <c r="I1222" s="1">
        <v>0</v>
      </c>
      <c r="J1222" s="1">
        <v>0</v>
      </c>
      <c r="K1222" s="1">
        <v>0</v>
      </c>
      <c r="L1222" s="1" t="s">
        <v>7690</v>
      </c>
      <c r="M1222" s="1" t="s">
        <v>6734</v>
      </c>
      <c r="N1222" s="1" t="s">
        <v>13</v>
      </c>
      <c r="O1222" s="1" t="s">
        <v>7691</v>
      </c>
    </row>
    <row r="1223" spans="1:15" x14ac:dyDescent="0.4">
      <c r="A1223" s="1" t="s">
        <v>1560</v>
      </c>
      <c r="B1223" s="1" t="s">
        <v>1550</v>
      </c>
      <c r="C1223" s="1" t="s">
        <v>1562</v>
      </c>
      <c r="D1223" s="1" t="s">
        <v>1551</v>
      </c>
      <c r="E1223" s="1" t="s">
        <v>8019</v>
      </c>
      <c r="F1223" s="1" t="s">
        <v>17</v>
      </c>
      <c r="G1223" s="4" t="str">
        <f>"08052"</f>
        <v>08052</v>
      </c>
      <c r="H1223" s="1">
        <v>0</v>
      </c>
      <c r="I1223" s="1">
        <v>0</v>
      </c>
      <c r="J1223" s="1">
        <v>0</v>
      </c>
      <c r="K1223" s="1">
        <v>0</v>
      </c>
      <c r="L1223" s="1" t="s">
        <v>380</v>
      </c>
      <c r="M1223" s="1" t="s">
        <v>708</v>
      </c>
      <c r="N1223" s="1" t="s">
        <v>13</v>
      </c>
      <c r="O1223" s="1" t="s">
        <v>1561</v>
      </c>
    </row>
    <row r="1224" spans="1:15" x14ac:dyDescent="0.4">
      <c r="A1224" s="1" t="s">
        <v>1230</v>
      </c>
      <c r="B1224" s="1" t="s">
        <v>1219</v>
      </c>
      <c r="C1224" s="1" t="s">
        <v>1233</v>
      </c>
      <c r="D1224" s="1" t="s">
        <v>1224</v>
      </c>
      <c r="E1224" s="1" t="s">
        <v>8018</v>
      </c>
      <c r="F1224" s="1" t="s">
        <v>17</v>
      </c>
      <c r="G1224" s="4" t="str">
        <f>"07670"</f>
        <v>07670</v>
      </c>
      <c r="H1224" s="1">
        <v>0</v>
      </c>
      <c r="I1224" s="1">
        <v>0</v>
      </c>
      <c r="J1224" s="1">
        <v>0</v>
      </c>
      <c r="K1224" s="1">
        <v>45</v>
      </c>
      <c r="L1224" s="1" t="s">
        <v>38</v>
      </c>
      <c r="M1224" s="1" t="s">
        <v>1231</v>
      </c>
      <c r="N1224" s="1" t="s">
        <v>13</v>
      </c>
      <c r="O1224" s="1" t="s">
        <v>1232</v>
      </c>
    </row>
    <row r="1225" spans="1:15" x14ac:dyDescent="0.4">
      <c r="A1225" s="1" t="s">
        <v>1012</v>
      </c>
      <c r="B1225" s="1" t="s">
        <v>1006</v>
      </c>
      <c r="C1225" s="1" t="s">
        <v>1015</v>
      </c>
      <c r="D1225" s="1" t="s">
        <v>1016</v>
      </c>
      <c r="E1225" s="1" t="s">
        <v>8018</v>
      </c>
      <c r="F1225" s="1" t="s">
        <v>17</v>
      </c>
      <c r="G1225" s="4" t="str">
        <f>"07417"</f>
        <v>07417</v>
      </c>
      <c r="H1225" s="1">
        <v>0</v>
      </c>
      <c r="I1225" s="1">
        <v>0</v>
      </c>
      <c r="J1225" s="1">
        <v>0</v>
      </c>
      <c r="K1225" s="1">
        <v>0</v>
      </c>
      <c r="L1225" s="1" t="s">
        <v>1013</v>
      </c>
      <c r="M1225" s="1" t="s">
        <v>421</v>
      </c>
      <c r="N1225" s="1" t="s">
        <v>13</v>
      </c>
      <c r="O1225" s="1" t="s">
        <v>1014</v>
      </c>
    </row>
    <row r="1226" spans="1:15" x14ac:dyDescent="0.4">
      <c r="A1226" s="1" t="s">
        <v>822</v>
      </c>
      <c r="B1226" s="1" t="s">
        <v>801</v>
      </c>
      <c r="C1226" s="1" t="s">
        <v>825</v>
      </c>
      <c r="D1226" s="1" t="s">
        <v>806</v>
      </c>
      <c r="E1226" s="1" t="s">
        <v>8018</v>
      </c>
      <c r="F1226" s="1" t="s">
        <v>17</v>
      </c>
      <c r="G1226" s="4" t="str">
        <f>"07430"</f>
        <v>07430</v>
      </c>
      <c r="H1226" s="1">
        <v>0</v>
      </c>
      <c r="I1226" s="1">
        <v>0</v>
      </c>
      <c r="J1226" s="1">
        <v>0</v>
      </c>
      <c r="K1226" s="1">
        <v>0</v>
      </c>
      <c r="L1226" s="1" t="s">
        <v>50</v>
      </c>
      <c r="M1226" s="1" t="s">
        <v>823</v>
      </c>
      <c r="N1226" s="1" t="s">
        <v>13</v>
      </c>
      <c r="O1226" s="1" t="s">
        <v>824</v>
      </c>
    </row>
    <row r="1227" spans="1:15" x14ac:dyDescent="0.4">
      <c r="A1227" s="1" t="s">
        <v>1029</v>
      </c>
      <c r="B1227" s="1" t="s">
        <v>1017</v>
      </c>
      <c r="C1227" s="1" t="s">
        <v>1032</v>
      </c>
      <c r="D1227" s="1" t="s">
        <v>1022</v>
      </c>
      <c r="E1227" s="1" t="s">
        <v>8018</v>
      </c>
      <c r="F1227" s="1" t="s">
        <v>17</v>
      </c>
      <c r="G1227" s="4" t="str">
        <f>"07446-1927"</f>
        <v>07446-1927</v>
      </c>
      <c r="H1227" s="1">
        <v>0</v>
      </c>
      <c r="I1227" s="1">
        <v>0</v>
      </c>
      <c r="J1227" s="1">
        <v>0</v>
      </c>
      <c r="K1227" s="1">
        <v>0</v>
      </c>
      <c r="L1227" s="1" t="s">
        <v>158</v>
      </c>
      <c r="M1227" s="1" t="s">
        <v>1030</v>
      </c>
      <c r="N1227" s="1" t="s">
        <v>13</v>
      </c>
      <c r="O1227" s="1" t="s">
        <v>1031</v>
      </c>
    </row>
    <row r="1228" spans="1:15" x14ac:dyDescent="0.4">
      <c r="A1228" s="1" t="s">
        <v>5326</v>
      </c>
      <c r="B1228" s="1" t="s">
        <v>5297</v>
      </c>
      <c r="C1228" s="1" t="s">
        <v>5329</v>
      </c>
      <c r="D1228" s="1" t="s">
        <v>5301</v>
      </c>
      <c r="E1228" s="1" t="s">
        <v>8027</v>
      </c>
      <c r="F1228" s="1" t="s">
        <v>17</v>
      </c>
      <c r="G1228" s="4" t="str">
        <f>"07731-0216"</f>
        <v>07731-0216</v>
      </c>
      <c r="H1228" s="1">
        <v>0</v>
      </c>
      <c r="I1228" s="1">
        <v>0</v>
      </c>
      <c r="J1228" s="1">
        <v>0</v>
      </c>
      <c r="K1228" s="1">
        <v>79</v>
      </c>
      <c r="L1228" s="1" t="s">
        <v>3815</v>
      </c>
      <c r="M1228" s="1" t="s">
        <v>5327</v>
      </c>
      <c r="N1228" s="1" t="s">
        <v>13</v>
      </c>
      <c r="O1228" s="1" t="s">
        <v>5328</v>
      </c>
    </row>
    <row r="1229" spans="1:15" x14ac:dyDescent="0.4">
      <c r="A1229" s="1" t="s">
        <v>1704</v>
      </c>
      <c r="B1229" s="1" t="s">
        <v>1703</v>
      </c>
      <c r="C1229" s="1" t="s">
        <v>1706</v>
      </c>
      <c r="D1229" s="1" t="s">
        <v>1610</v>
      </c>
      <c r="E1229" s="1" t="s">
        <v>8019</v>
      </c>
      <c r="F1229" s="1" t="s">
        <v>17</v>
      </c>
      <c r="G1229" s="4" t="str">
        <f>"08060-9622"</f>
        <v>08060-9622</v>
      </c>
      <c r="H1229" s="1">
        <v>0</v>
      </c>
      <c r="I1229" s="1">
        <v>0</v>
      </c>
      <c r="J1229" s="1">
        <v>0</v>
      </c>
      <c r="K1229" s="1">
        <v>0</v>
      </c>
      <c r="L1229" s="1" t="s">
        <v>62</v>
      </c>
      <c r="M1229" s="1" t="s">
        <v>387</v>
      </c>
      <c r="N1229" s="1" t="s">
        <v>13</v>
      </c>
      <c r="O1229" s="1" t="s">
        <v>1705</v>
      </c>
    </row>
    <row r="1230" spans="1:15" x14ac:dyDescent="0.4">
      <c r="A1230" s="1" t="s">
        <v>6889</v>
      </c>
      <c r="B1230" s="1" t="s">
        <v>6857</v>
      </c>
      <c r="C1230" s="1" t="s">
        <v>6893</v>
      </c>
      <c r="D1230" s="1" t="s">
        <v>6682</v>
      </c>
      <c r="E1230" s="1" t="s">
        <v>2670</v>
      </c>
      <c r="F1230" s="1" t="s">
        <v>17</v>
      </c>
      <c r="G1230" s="4" t="str">
        <f>"07470-4672"</f>
        <v>07470-4672</v>
      </c>
      <c r="H1230" s="1">
        <v>0</v>
      </c>
      <c r="I1230" s="1">
        <v>0</v>
      </c>
      <c r="J1230" s="1">
        <v>0</v>
      </c>
      <c r="K1230" s="1">
        <v>54</v>
      </c>
      <c r="L1230" s="1" t="s">
        <v>6890</v>
      </c>
      <c r="M1230" s="1" t="s">
        <v>6891</v>
      </c>
      <c r="N1230" s="1" t="s">
        <v>13</v>
      </c>
      <c r="O1230" s="1" t="s">
        <v>6892</v>
      </c>
    </row>
    <row r="1231" spans="1:15" x14ac:dyDescent="0.4">
      <c r="A1231" s="1" t="s">
        <v>6105</v>
      </c>
      <c r="B1231" s="1" t="s">
        <v>6095</v>
      </c>
      <c r="C1231" s="1" t="s">
        <v>6107</v>
      </c>
      <c r="D1231" s="1" t="s">
        <v>6096</v>
      </c>
      <c r="E1231" s="1" t="s">
        <v>1503</v>
      </c>
      <c r="F1231" s="1" t="s">
        <v>17</v>
      </c>
      <c r="G1231" s="4" t="str">
        <f>"07869"</f>
        <v>07869</v>
      </c>
      <c r="H1231" s="1">
        <v>0</v>
      </c>
      <c r="I1231" s="1">
        <v>0</v>
      </c>
      <c r="J1231" s="1">
        <v>0</v>
      </c>
      <c r="K1231" s="1">
        <v>0</v>
      </c>
      <c r="L1231" s="1" t="s">
        <v>18</v>
      </c>
      <c r="M1231" s="1" t="s">
        <v>2961</v>
      </c>
      <c r="N1231" s="1" t="s">
        <v>13</v>
      </c>
      <c r="O1231" s="1" t="s">
        <v>6106</v>
      </c>
    </row>
    <row r="1232" spans="1:15" x14ac:dyDescent="0.4">
      <c r="A1232" s="1" t="s">
        <v>6108</v>
      </c>
      <c r="B1232" s="1" t="s">
        <v>6095</v>
      </c>
      <c r="C1232" s="1" t="s">
        <v>6111</v>
      </c>
      <c r="D1232" s="1" t="s">
        <v>6096</v>
      </c>
      <c r="E1232" s="1" t="s">
        <v>1503</v>
      </c>
      <c r="F1232" s="1" t="s">
        <v>17</v>
      </c>
      <c r="G1232" s="4" t="str">
        <f>"07869"</f>
        <v>07869</v>
      </c>
      <c r="H1232" s="1">
        <v>0</v>
      </c>
      <c r="I1232" s="1">
        <v>0</v>
      </c>
      <c r="J1232" s="1">
        <v>0</v>
      </c>
      <c r="K1232" s="1">
        <v>0</v>
      </c>
      <c r="L1232" s="1" t="s">
        <v>128</v>
      </c>
      <c r="M1232" s="1" t="s">
        <v>6109</v>
      </c>
      <c r="N1232" s="1" t="s">
        <v>13</v>
      </c>
      <c r="O1232" s="1" t="s">
        <v>6110</v>
      </c>
    </row>
    <row r="1233" spans="1:15" x14ac:dyDescent="0.4">
      <c r="A1233" s="1" t="s">
        <v>4931</v>
      </c>
      <c r="B1233" s="1" t="s">
        <v>4900</v>
      </c>
      <c r="C1233" s="1" t="s">
        <v>4935</v>
      </c>
      <c r="D1233" s="1" t="s">
        <v>4631</v>
      </c>
      <c r="E1233" s="1" t="s">
        <v>4704</v>
      </c>
      <c r="F1233" s="1" t="s">
        <v>17</v>
      </c>
      <c r="G1233" s="4" t="str">
        <f>"08854"</f>
        <v>08854</v>
      </c>
      <c r="H1233" s="1">
        <v>0</v>
      </c>
      <c r="I1233" s="1">
        <v>0</v>
      </c>
      <c r="J1233" s="1">
        <v>0</v>
      </c>
      <c r="K1233" s="1">
        <v>123</v>
      </c>
      <c r="L1233" s="1" t="s">
        <v>4932</v>
      </c>
      <c r="M1233" s="1" t="s">
        <v>4933</v>
      </c>
      <c r="N1233" s="1" t="s">
        <v>13</v>
      </c>
      <c r="O1233" s="1" t="s">
        <v>4934</v>
      </c>
    </row>
    <row r="1234" spans="1:15" x14ac:dyDescent="0.4">
      <c r="A1234" s="1" t="s">
        <v>5274</v>
      </c>
      <c r="B1234" s="1" t="s">
        <v>5251</v>
      </c>
      <c r="C1234" s="1" t="s">
        <v>5277</v>
      </c>
      <c r="D1234" s="1" t="s">
        <v>5257</v>
      </c>
      <c r="E1234" s="1" t="s">
        <v>8027</v>
      </c>
      <c r="F1234" s="1" t="s">
        <v>17</v>
      </c>
      <c r="G1234" s="4" t="str">
        <f>"07730-2428"</f>
        <v>07730-2428</v>
      </c>
      <c r="H1234" s="1">
        <v>0</v>
      </c>
      <c r="I1234" s="1">
        <v>0</v>
      </c>
      <c r="J1234" s="1">
        <v>0</v>
      </c>
      <c r="K1234" s="1">
        <v>0</v>
      </c>
      <c r="L1234" s="1" t="s">
        <v>836</v>
      </c>
      <c r="M1234" s="1" t="s">
        <v>5275</v>
      </c>
      <c r="N1234" s="1" t="s">
        <v>13</v>
      </c>
      <c r="O1234" s="1" t="s">
        <v>5276</v>
      </c>
    </row>
    <row r="1235" spans="1:15" x14ac:dyDescent="0.4">
      <c r="A1235" s="1" t="s">
        <v>5278</v>
      </c>
      <c r="B1235" s="1" t="s">
        <v>5251</v>
      </c>
      <c r="C1235" s="1" t="s">
        <v>5281</v>
      </c>
      <c r="D1235" s="1" t="s">
        <v>5257</v>
      </c>
      <c r="E1235" s="1" t="s">
        <v>8027</v>
      </c>
      <c r="F1235" s="1" t="s">
        <v>17</v>
      </c>
      <c r="G1235" s="4" t="str">
        <f>"07730-1168"</f>
        <v>07730-1168</v>
      </c>
      <c r="H1235" s="1">
        <v>0</v>
      </c>
      <c r="I1235" s="1">
        <v>0</v>
      </c>
      <c r="J1235" s="1">
        <v>0</v>
      </c>
      <c r="K1235" s="1">
        <v>0</v>
      </c>
      <c r="L1235" s="1" t="s">
        <v>267</v>
      </c>
      <c r="M1235" s="1" t="s">
        <v>5279</v>
      </c>
      <c r="N1235" s="1" t="s">
        <v>13</v>
      </c>
      <c r="O1235" s="1" t="s">
        <v>5280</v>
      </c>
    </row>
    <row r="1236" spans="1:15" x14ac:dyDescent="0.4">
      <c r="A1236" s="1" t="s">
        <v>4841</v>
      </c>
      <c r="B1236" s="1" t="s">
        <v>4808</v>
      </c>
      <c r="C1236" s="1" t="s">
        <v>4844</v>
      </c>
      <c r="D1236" s="1" t="s">
        <v>4813</v>
      </c>
      <c r="E1236" s="1" t="s">
        <v>4704</v>
      </c>
      <c r="F1236" s="1" t="s">
        <v>17</v>
      </c>
      <c r="G1236" s="4" t="str">
        <f>"08857-3414"</f>
        <v>08857-3414</v>
      </c>
      <c r="H1236" s="1">
        <v>0</v>
      </c>
      <c r="I1236" s="1">
        <v>0</v>
      </c>
      <c r="J1236" s="1">
        <v>0</v>
      </c>
      <c r="K1236" s="1">
        <v>64</v>
      </c>
      <c r="L1236" s="1" t="s">
        <v>40</v>
      </c>
      <c r="M1236" s="1" t="s">
        <v>4842</v>
      </c>
      <c r="N1236" s="1" t="s">
        <v>13</v>
      </c>
      <c r="O1236" s="1" t="s">
        <v>4843</v>
      </c>
    </row>
    <row r="1237" spans="1:15" x14ac:dyDescent="0.4">
      <c r="A1237" s="1" t="s">
        <v>8057</v>
      </c>
      <c r="B1237" s="1" t="s">
        <v>7834</v>
      </c>
      <c r="C1237" s="1" t="s">
        <v>7846</v>
      </c>
      <c r="D1237" s="1" t="s">
        <v>7847</v>
      </c>
      <c r="E1237" s="1" t="s">
        <v>7833</v>
      </c>
      <c r="F1237" s="1" t="s">
        <v>17</v>
      </c>
      <c r="G1237" s="4" t="str">
        <f>"07203"</f>
        <v>07203</v>
      </c>
      <c r="H1237" s="1">
        <v>0</v>
      </c>
      <c r="I1237" s="1">
        <v>0</v>
      </c>
      <c r="J1237" s="1">
        <v>0</v>
      </c>
      <c r="K1237" s="1">
        <v>0</v>
      </c>
      <c r="L1237" s="1" t="s">
        <v>7844</v>
      </c>
      <c r="M1237" s="1" t="s">
        <v>5845</v>
      </c>
      <c r="N1237" s="1" t="s">
        <v>13</v>
      </c>
      <c r="O1237" s="1" t="s">
        <v>7845</v>
      </c>
    </row>
    <row r="1238" spans="1:15" x14ac:dyDescent="0.4">
      <c r="A1238" s="1" t="s">
        <v>4107</v>
      </c>
      <c r="B1238" s="1" t="s">
        <v>4101</v>
      </c>
      <c r="C1238" s="1" t="s">
        <v>4110</v>
      </c>
      <c r="D1238" s="1" t="s">
        <v>4102</v>
      </c>
      <c r="E1238" s="1" t="s">
        <v>8025</v>
      </c>
      <c r="F1238" s="1" t="s">
        <v>17</v>
      </c>
      <c r="G1238" s="4" t="str">
        <f>"08822-1325"</f>
        <v>08822-1325</v>
      </c>
      <c r="H1238" s="1">
        <v>0</v>
      </c>
      <c r="I1238" s="1">
        <v>0</v>
      </c>
      <c r="J1238" s="1">
        <v>0</v>
      </c>
      <c r="K1238" s="1">
        <v>0</v>
      </c>
      <c r="L1238" s="1" t="s">
        <v>267</v>
      </c>
      <c r="M1238" s="1" t="s">
        <v>4108</v>
      </c>
      <c r="N1238" s="1" t="s">
        <v>13</v>
      </c>
      <c r="O1238" s="1" t="s">
        <v>4109</v>
      </c>
    </row>
    <row r="1239" spans="1:15" x14ac:dyDescent="0.4">
      <c r="A1239" s="1" t="s">
        <v>4158</v>
      </c>
      <c r="B1239" s="1" t="s">
        <v>4152</v>
      </c>
      <c r="C1239" s="1" t="s">
        <v>4161</v>
      </c>
      <c r="D1239" s="1" t="s">
        <v>4157</v>
      </c>
      <c r="E1239" s="1" t="s">
        <v>8025</v>
      </c>
      <c r="F1239" s="1" t="s">
        <v>17</v>
      </c>
      <c r="G1239" s="4" t="str">
        <f>"08889"</f>
        <v>08889</v>
      </c>
      <c r="H1239" s="1">
        <v>0</v>
      </c>
      <c r="I1239" s="1">
        <v>0</v>
      </c>
      <c r="J1239" s="1">
        <v>0</v>
      </c>
      <c r="K1239" s="1">
        <v>0</v>
      </c>
      <c r="L1239" s="1" t="s">
        <v>997</v>
      </c>
      <c r="M1239" s="1" t="s">
        <v>4159</v>
      </c>
      <c r="N1239" s="1" t="s">
        <v>13</v>
      </c>
      <c r="O1239" s="1" t="s">
        <v>4160</v>
      </c>
    </row>
    <row r="1240" spans="1:15" x14ac:dyDescent="0.4">
      <c r="A1240" s="1" t="s">
        <v>5595</v>
      </c>
      <c r="B1240" s="1" t="s">
        <v>5594</v>
      </c>
      <c r="C1240" s="1" t="s">
        <v>5597</v>
      </c>
      <c r="D1240" s="1" t="s">
        <v>2708</v>
      </c>
      <c r="E1240" s="1" t="s">
        <v>8027</v>
      </c>
      <c r="F1240" s="1" t="s">
        <v>17</v>
      </c>
      <c r="G1240" s="4" t="str">
        <f>"07701-2008"</f>
        <v>07701-2008</v>
      </c>
      <c r="H1240" s="1">
        <v>0</v>
      </c>
      <c r="I1240" s="1">
        <v>0</v>
      </c>
      <c r="J1240" s="1">
        <v>0</v>
      </c>
      <c r="K1240" s="1">
        <v>0</v>
      </c>
      <c r="L1240" s="1" t="s">
        <v>34</v>
      </c>
      <c r="M1240" s="1" t="s">
        <v>3806</v>
      </c>
      <c r="N1240" s="1" t="s">
        <v>13</v>
      </c>
      <c r="O1240" s="1" t="s">
        <v>5596</v>
      </c>
    </row>
    <row r="1241" spans="1:15" x14ac:dyDescent="0.4">
      <c r="A1241" s="1" t="s">
        <v>5600</v>
      </c>
      <c r="B1241" s="1" t="s">
        <v>5599</v>
      </c>
      <c r="C1241" s="1" t="s">
        <v>5603</v>
      </c>
      <c r="D1241" s="1" t="s">
        <v>5383</v>
      </c>
      <c r="E1241" s="1" t="s">
        <v>8027</v>
      </c>
      <c r="F1241" s="1" t="s">
        <v>17</v>
      </c>
      <c r="G1241" s="4" t="str">
        <f>"07739-1698"</f>
        <v>07739-1698</v>
      </c>
      <c r="H1241" s="1">
        <v>0</v>
      </c>
      <c r="I1241" s="1">
        <v>0</v>
      </c>
      <c r="J1241" s="1">
        <v>0</v>
      </c>
      <c r="K1241" s="1">
        <v>0</v>
      </c>
      <c r="L1241" s="1" t="s">
        <v>5601</v>
      </c>
      <c r="M1241" s="1" t="s">
        <v>1630</v>
      </c>
      <c r="N1241" s="1" t="s">
        <v>13</v>
      </c>
      <c r="O1241" s="1" t="s">
        <v>5602</v>
      </c>
    </row>
    <row r="1242" spans="1:15" x14ac:dyDescent="0.4">
      <c r="A1242" s="1" t="s">
        <v>3523</v>
      </c>
      <c r="B1242" s="1" t="s">
        <v>3497</v>
      </c>
      <c r="C1242" s="1" t="s">
        <v>3526</v>
      </c>
      <c r="D1242" s="1" t="s">
        <v>3501</v>
      </c>
      <c r="E1242" s="1" t="s">
        <v>8024</v>
      </c>
      <c r="F1242" s="1" t="s">
        <v>17</v>
      </c>
      <c r="G1242" s="4" t="str">
        <f>"07052-3623"</f>
        <v>07052-3623</v>
      </c>
      <c r="H1242" s="1">
        <v>0</v>
      </c>
      <c r="I1242" s="1">
        <v>0</v>
      </c>
      <c r="J1242" s="1">
        <v>0</v>
      </c>
      <c r="K1242" s="1">
        <v>83</v>
      </c>
      <c r="L1242" s="1" t="s">
        <v>3524</v>
      </c>
      <c r="M1242" s="1" t="s">
        <v>1326</v>
      </c>
      <c r="N1242" s="1" t="s">
        <v>13</v>
      </c>
      <c r="O1242" s="1" t="s">
        <v>3525</v>
      </c>
    </row>
    <row r="1243" spans="1:15" x14ac:dyDescent="0.4">
      <c r="A1243" s="1" t="s">
        <v>5578</v>
      </c>
      <c r="B1243" s="1" t="s">
        <v>5577</v>
      </c>
      <c r="C1243" s="1" t="s">
        <v>5153</v>
      </c>
      <c r="D1243" s="1" t="s">
        <v>2501</v>
      </c>
      <c r="E1243" s="1" t="s">
        <v>8027</v>
      </c>
      <c r="F1243" s="1" t="s">
        <v>17</v>
      </c>
      <c r="G1243" s="4" t="str">
        <f>"07712"</f>
        <v>07712</v>
      </c>
      <c r="H1243" s="1">
        <v>0</v>
      </c>
      <c r="I1243" s="1">
        <v>0</v>
      </c>
      <c r="J1243" s="1">
        <v>0</v>
      </c>
      <c r="K1243" s="1">
        <v>0</v>
      </c>
      <c r="L1243" s="1" t="s">
        <v>19</v>
      </c>
      <c r="M1243" s="1" t="s">
        <v>765</v>
      </c>
      <c r="N1243" s="1" t="s">
        <v>13</v>
      </c>
      <c r="O1243" s="1" t="s">
        <v>5579</v>
      </c>
    </row>
    <row r="1244" spans="1:15" x14ac:dyDescent="0.4">
      <c r="A1244" s="1" t="s">
        <v>3941</v>
      </c>
      <c r="B1244" s="1" t="s">
        <v>3883</v>
      </c>
      <c r="C1244" s="1" t="s">
        <v>3943</v>
      </c>
      <c r="D1244" s="1" t="s">
        <v>2605</v>
      </c>
      <c r="E1244" s="1" t="s">
        <v>3646</v>
      </c>
      <c r="F1244" s="1" t="s">
        <v>17</v>
      </c>
      <c r="G1244" s="4" t="str">
        <f>"07304"</f>
        <v>07304</v>
      </c>
      <c r="H1244" s="1">
        <v>0</v>
      </c>
      <c r="I1244" s="1">
        <v>0</v>
      </c>
      <c r="J1244" s="1">
        <v>0</v>
      </c>
      <c r="K1244" s="1">
        <v>0</v>
      </c>
      <c r="L1244" s="1" t="s">
        <v>1391</v>
      </c>
      <c r="M1244" s="1" t="s">
        <v>1739</v>
      </c>
      <c r="N1244" s="1" t="s">
        <v>13</v>
      </c>
      <c r="O1244" s="1" t="s">
        <v>3942</v>
      </c>
    </row>
    <row r="1245" spans="1:15" x14ac:dyDescent="0.4">
      <c r="A1245" s="1" t="s">
        <v>3241</v>
      </c>
      <c r="B1245" s="1" t="s">
        <v>3202</v>
      </c>
      <c r="C1245" s="1" t="s">
        <v>3244</v>
      </c>
      <c r="D1245" s="1" t="s">
        <v>3219</v>
      </c>
      <c r="E1245" s="1" t="s">
        <v>8024</v>
      </c>
      <c r="F1245" s="1" t="s">
        <v>17</v>
      </c>
      <c r="G1245" s="4" t="str">
        <f>"07042"</f>
        <v>07042</v>
      </c>
      <c r="H1245" s="1">
        <v>0</v>
      </c>
      <c r="I1245" s="1">
        <v>0</v>
      </c>
      <c r="J1245" s="1">
        <v>0</v>
      </c>
      <c r="K1245" s="1">
        <v>0</v>
      </c>
      <c r="L1245" s="1" t="s">
        <v>608</v>
      </c>
      <c r="M1245" s="1" t="s">
        <v>3242</v>
      </c>
      <c r="N1245" s="1" t="s">
        <v>13</v>
      </c>
      <c r="O1245" s="1" t="s">
        <v>3243</v>
      </c>
    </row>
    <row r="1246" spans="1:15" x14ac:dyDescent="0.4">
      <c r="A1246" s="1" t="s">
        <v>8058</v>
      </c>
      <c r="B1246" s="1" t="s">
        <v>6692</v>
      </c>
      <c r="C1246" s="1" t="s">
        <v>6747</v>
      </c>
      <c r="D1246" s="1" t="s">
        <v>2460</v>
      </c>
      <c r="E1246" s="1" t="s">
        <v>2670</v>
      </c>
      <c r="F1246" s="1" t="s">
        <v>17</v>
      </c>
      <c r="G1246" s="4" t="str">
        <f>"07522-1729"</f>
        <v>07522-1729</v>
      </c>
      <c r="H1246" s="1">
        <v>0</v>
      </c>
      <c r="I1246" s="1">
        <v>0</v>
      </c>
      <c r="J1246" s="1">
        <v>0</v>
      </c>
      <c r="K1246" s="1">
        <v>0</v>
      </c>
      <c r="L1246" s="1" t="s">
        <v>6745</v>
      </c>
      <c r="M1246" s="1" t="s">
        <v>421</v>
      </c>
      <c r="N1246" s="1" t="s">
        <v>13</v>
      </c>
      <c r="O1246" s="1" t="s">
        <v>6746</v>
      </c>
    </row>
    <row r="1247" spans="1:15" x14ac:dyDescent="0.4">
      <c r="A1247" s="1" t="s">
        <v>5715</v>
      </c>
      <c r="B1247" s="1" t="s">
        <v>5706</v>
      </c>
      <c r="C1247" s="1" t="s">
        <v>5718</v>
      </c>
      <c r="D1247" s="1" t="s">
        <v>5711</v>
      </c>
      <c r="E1247" s="1" t="s">
        <v>1503</v>
      </c>
      <c r="F1247" s="1" t="s">
        <v>17</v>
      </c>
      <c r="G1247" s="4" t="str">
        <f>"07405"</f>
        <v>07405</v>
      </c>
      <c r="H1247" s="1">
        <v>0</v>
      </c>
      <c r="I1247" s="1">
        <v>0</v>
      </c>
      <c r="J1247" s="1">
        <v>0</v>
      </c>
      <c r="K1247" s="1">
        <v>0</v>
      </c>
      <c r="L1247" s="1" t="s">
        <v>272</v>
      </c>
      <c r="M1247" s="1" t="s">
        <v>5716</v>
      </c>
      <c r="N1247" s="1" t="s">
        <v>13</v>
      </c>
      <c r="O1247" s="1" t="s">
        <v>5717</v>
      </c>
    </row>
    <row r="1248" spans="1:15" x14ac:dyDescent="0.4">
      <c r="A1248" s="1" t="s">
        <v>4300</v>
      </c>
      <c r="B1248" s="1" t="s">
        <v>4235</v>
      </c>
      <c r="C1248" s="1" t="s">
        <v>4303</v>
      </c>
      <c r="D1248" s="1" t="s">
        <v>4239</v>
      </c>
      <c r="E1248" s="1" t="s">
        <v>8026</v>
      </c>
      <c r="F1248" s="1" t="s">
        <v>17</v>
      </c>
      <c r="G1248" s="4" t="str">
        <f>"08691"</f>
        <v>08691</v>
      </c>
      <c r="H1248" s="1">
        <v>0</v>
      </c>
      <c r="I1248" s="1">
        <v>0</v>
      </c>
      <c r="J1248" s="1">
        <v>0</v>
      </c>
      <c r="K1248" s="1">
        <v>0</v>
      </c>
      <c r="L1248" s="1" t="s">
        <v>1408</v>
      </c>
      <c r="M1248" s="1" t="s">
        <v>4301</v>
      </c>
      <c r="N1248" s="1" t="s">
        <v>13</v>
      </c>
      <c r="O1248" s="1" t="s">
        <v>4302</v>
      </c>
    </row>
    <row r="1249" spans="1:15" x14ac:dyDescent="0.4">
      <c r="A1249" s="1" t="s">
        <v>694</v>
      </c>
      <c r="B1249" s="1" t="s">
        <v>673</v>
      </c>
      <c r="C1249" s="1" t="s">
        <v>698</v>
      </c>
      <c r="D1249" s="1" t="s">
        <v>678</v>
      </c>
      <c r="E1249" s="1" t="s">
        <v>8018</v>
      </c>
      <c r="F1249" s="1" t="s">
        <v>17</v>
      </c>
      <c r="G1249" s="4" t="str">
        <f>"07452-2033"</f>
        <v>07452-2033</v>
      </c>
      <c r="H1249" s="1">
        <v>0</v>
      </c>
      <c r="I1249" s="1">
        <v>0</v>
      </c>
      <c r="J1249" s="1">
        <v>0</v>
      </c>
      <c r="K1249" s="1">
        <v>39</v>
      </c>
      <c r="L1249" s="1" t="s">
        <v>695</v>
      </c>
      <c r="M1249" s="1" t="s">
        <v>696</v>
      </c>
      <c r="N1249" s="1" t="s">
        <v>13</v>
      </c>
      <c r="O1249" s="1" t="s">
        <v>697</v>
      </c>
    </row>
    <row r="1250" spans="1:15" x14ac:dyDescent="0.4">
      <c r="A1250" s="1" t="s">
        <v>2339</v>
      </c>
      <c r="B1250" s="1" t="s">
        <v>2333</v>
      </c>
      <c r="C1250" s="1" t="s">
        <v>2338</v>
      </c>
      <c r="D1250" s="1" t="s">
        <v>2311</v>
      </c>
      <c r="E1250" s="1" t="s">
        <v>8021</v>
      </c>
      <c r="F1250" s="1" t="s">
        <v>17</v>
      </c>
      <c r="G1250" s="4" t="str">
        <f>"08204-4637"</f>
        <v>08204-4637</v>
      </c>
      <c r="H1250" s="1">
        <v>0</v>
      </c>
      <c r="I1250" s="1">
        <v>0</v>
      </c>
      <c r="J1250" s="1">
        <v>0</v>
      </c>
      <c r="K1250" s="1">
        <v>0</v>
      </c>
      <c r="L1250" s="1" t="s">
        <v>2340</v>
      </c>
      <c r="M1250" s="1" t="s">
        <v>2341</v>
      </c>
      <c r="N1250" s="1" t="s">
        <v>13</v>
      </c>
      <c r="O1250" s="1" t="s">
        <v>2342</v>
      </c>
    </row>
    <row r="1251" spans="1:15" x14ac:dyDescent="0.4">
      <c r="A1251" s="1" t="s">
        <v>1989</v>
      </c>
      <c r="B1251" s="1" t="s">
        <v>1927</v>
      </c>
      <c r="C1251" s="1" t="s">
        <v>1992</v>
      </c>
      <c r="D1251" s="1" t="s">
        <v>1933</v>
      </c>
      <c r="E1251" s="1" t="s">
        <v>1909</v>
      </c>
      <c r="F1251" s="1" t="s">
        <v>17</v>
      </c>
      <c r="G1251" s="4" t="str">
        <f>"08003-1827"</f>
        <v>08003-1827</v>
      </c>
      <c r="H1251" s="1">
        <v>0</v>
      </c>
      <c r="I1251" s="1">
        <v>0</v>
      </c>
      <c r="J1251" s="1">
        <v>0</v>
      </c>
      <c r="K1251" s="1">
        <v>63</v>
      </c>
      <c r="L1251" s="1" t="s">
        <v>34</v>
      </c>
      <c r="M1251" s="1" t="s">
        <v>1990</v>
      </c>
      <c r="N1251" s="1" t="s">
        <v>13</v>
      </c>
      <c r="O1251" s="1" t="s">
        <v>1991</v>
      </c>
    </row>
    <row r="1252" spans="1:15" x14ac:dyDescent="0.4">
      <c r="A1252" s="1" t="s">
        <v>2710</v>
      </c>
      <c r="B1252" s="1" t="s">
        <v>2710</v>
      </c>
      <c r="C1252" s="1" t="s">
        <v>2713</v>
      </c>
      <c r="D1252" s="1" t="s">
        <v>2714</v>
      </c>
      <c r="E1252" s="1" t="s">
        <v>8022</v>
      </c>
      <c r="F1252" s="1" t="s">
        <v>17</v>
      </c>
      <c r="G1252" s="4" t="str">
        <f>"07825"</f>
        <v>07825</v>
      </c>
      <c r="H1252" s="1">
        <v>0</v>
      </c>
      <c r="I1252" s="1">
        <v>0</v>
      </c>
      <c r="J1252" s="1">
        <v>0</v>
      </c>
      <c r="K1252" s="1">
        <v>15</v>
      </c>
      <c r="L1252" s="1" t="s">
        <v>143</v>
      </c>
      <c r="M1252" s="1" t="s">
        <v>2711</v>
      </c>
      <c r="N1252" s="1" t="s">
        <v>91</v>
      </c>
      <c r="O1252" s="1" t="s">
        <v>2712</v>
      </c>
    </row>
    <row r="1253" spans="1:15" x14ac:dyDescent="0.4">
      <c r="A1253" s="1" t="s">
        <v>1077</v>
      </c>
      <c r="B1253" s="1" t="s">
        <v>1058</v>
      </c>
      <c r="C1253" s="1" t="s">
        <v>1080</v>
      </c>
      <c r="D1253" s="1" t="s">
        <v>1063</v>
      </c>
      <c r="E1253" s="1" t="s">
        <v>8018</v>
      </c>
      <c r="F1253" s="1" t="s">
        <v>17</v>
      </c>
      <c r="G1253" s="4" t="str">
        <f>"07450-3624"</f>
        <v>07450-3624</v>
      </c>
      <c r="H1253" s="1">
        <v>0</v>
      </c>
      <c r="I1253" s="1">
        <v>0</v>
      </c>
      <c r="J1253" s="1">
        <v>0</v>
      </c>
      <c r="K1253" s="1">
        <v>64</v>
      </c>
      <c r="L1253" s="1" t="s">
        <v>272</v>
      </c>
      <c r="M1253" s="1" t="s">
        <v>1078</v>
      </c>
      <c r="N1253" s="1" t="s">
        <v>13</v>
      </c>
      <c r="O1253" s="1" t="s">
        <v>1079</v>
      </c>
    </row>
    <row r="1254" spans="1:15" x14ac:dyDescent="0.4">
      <c r="A1254" s="1" t="s">
        <v>7056</v>
      </c>
      <c r="B1254" s="1" t="s">
        <v>7043</v>
      </c>
      <c r="C1254" s="1" t="s">
        <v>7058</v>
      </c>
      <c r="D1254" s="1" t="s">
        <v>7047</v>
      </c>
      <c r="E1254" s="1" t="s">
        <v>2471</v>
      </c>
      <c r="F1254" s="1" t="s">
        <v>17</v>
      </c>
      <c r="G1254" s="4" t="str">
        <f>"07920-9439"</f>
        <v>07920-9439</v>
      </c>
      <c r="H1254" s="1">
        <v>0</v>
      </c>
      <c r="I1254" s="1">
        <v>0</v>
      </c>
      <c r="J1254" s="1">
        <v>0</v>
      </c>
      <c r="K1254" s="1">
        <v>0</v>
      </c>
      <c r="L1254" s="1" t="s">
        <v>323</v>
      </c>
      <c r="M1254" s="1" t="s">
        <v>4790</v>
      </c>
      <c r="N1254" s="1" t="s">
        <v>13</v>
      </c>
      <c r="O1254" s="1" t="s">
        <v>7057</v>
      </c>
    </row>
    <row r="1255" spans="1:15" x14ac:dyDescent="0.4">
      <c r="A1255" s="1" t="s">
        <v>964</v>
      </c>
      <c r="B1255" s="1" t="s">
        <v>954</v>
      </c>
      <c r="C1255" s="1" t="s">
        <v>968</v>
      </c>
      <c r="D1255" s="1" t="s">
        <v>314</v>
      </c>
      <c r="E1255" s="1" t="s">
        <v>8018</v>
      </c>
      <c r="F1255" s="1" t="s">
        <v>17</v>
      </c>
      <c r="G1255" s="4" t="str">
        <f>"07652"</f>
        <v>07652</v>
      </c>
      <c r="H1255" s="1">
        <v>0</v>
      </c>
      <c r="I1255" s="1">
        <v>0</v>
      </c>
      <c r="J1255" s="1">
        <v>0</v>
      </c>
      <c r="K1255" s="1">
        <v>55</v>
      </c>
      <c r="L1255" s="1" t="s">
        <v>965</v>
      </c>
      <c r="M1255" s="1" t="s">
        <v>966</v>
      </c>
      <c r="N1255" s="1" t="s">
        <v>13</v>
      </c>
      <c r="O1255" s="1" t="s">
        <v>967</v>
      </c>
    </row>
    <row r="1256" spans="1:15" x14ac:dyDescent="0.4">
      <c r="A1256" s="1" t="s">
        <v>5779</v>
      </c>
      <c r="B1256" s="1" t="s">
        <v>5770</v>
      </c>
      <c r="C1256" s="1" t="s">
        <v>5782</v>
      </c>
      <c r="D1256" s="1" t="s">
        <v>5775</v>
      </c>
      <c r="E1256" s="1" t="s">
        <v>1503</v>
      </c>
      <c r="F1256" s="1" t="s">
        <v>17</v>
      </c>
      <c r="G1256" s="4" t="str">
        <f>"07932"</f>
        <v>07932</v>
      </c>
      <c r="H1256" s="1">
        <v>0</v>
      </c>
      <c r="I1256" s="1">
        <v>0</v>
      </c>
      <c r="J1256" s="1">
        <v>0</v>
      </c>
      <c r="K1256" s="1">
        <v>0</v>
      </c>
      <c r="L1256" s="1" t="s">
        <v>842</v>
      </c>
      <c r="M1256" s="1" t="s">
        <v>5780</v>
      </c>
      <c r="N1256" s="1" t="s">
        <v>13</v>
      </c>
      <c r="O1256" s="1" t="s">
        <v>5781</v>
      </c>
    </row>
    <row r="1257" spans="1:15" x14ac:dyDescent="0.4">
      <c r="A1257" s="1" t="s">
        <v>1049</v>
      </c>
      <c r="B1257" s="1" t="s">
        <v>1043</v>
      </c>
      <c r="C1257" s="1" t="s">
        <v>1053</v>
      </c>
      <c r="D1257" s="1" t="s">
        <v>1048</v>
      </c>
      <c r="E1257" s="1" t="s">
        <v>8018</v>
      </c>
      <c r="F1257" s="1" t="s">
        <v>17</v>
      </c>
      <c r="G1257" s="4" t="str">
        <f>"07657"</f>
        <v>07657</v>
      </c>
      <c r="H1257" s="1">
        <v>0</v>
      </c>
      <c r="I1257" s="1">
        <v>0</v>
      </c>
      <c r="J1257" s="1">
        <v>0</v>
      </c>
      <c r="K1257" s="1">
        <v>0</v>
      </c>
      <c r="L1257" s="1" t="s">
        <v>1050</v>
      </c>
      <c r="M1257" s="1" t="s">
        <v>1051</v>
      </c>
      <c r="N1257" s="1" t="s">
        <v>13</v>
      </c>
      <c r="O1257" s="1" t="s">
        <v>1052</v>
      </c>
    </row>
    <row r="1258" spans="1:15" x14ac:dyDescent="0.4">
      <c r="A1258" s="1" t="s">
        <v>1039</v>
      </c>
      <c r="B1258" s="1" t="s">
        <v>1033</v>
      </c>
      <c r="C1258" s="1" t="s">
        <v>1042</v>
      </c>
      <c r="D1258" s="1" t="s">
        <v>1037</v>
      </c>
      <c r="E1258" s="1" t="s">
        <v>8018</v>
      </c>
      <c r="F1258" s="1" t="s">
        <v>17</v>
      </c>
      <c r="G1258" s="4" t="str">
        <f>"07660"</f>
        <v>07660</v>
      </c>
      <c r="H1258" s="1">
        <v>0</v>
      </c>
      <c r="I1258" s="1">
        <v>0</v>
      </c>
      <c r="J1258" s="1">
        <v>0</v>
      </c>
      <c r="K1258" s="1">
        <v>0</v>
      </c>
      <c r="L1258" s="1" t="s">
        <v>197</v>
      </c>
      <c r="M1258" s="1" t="s">
        <v>1040</v>
      </c>
      <c r="N1258" s="1" t="s">
        <v>13</v>
      </c>
      <c r="O1258" s="1" t="s">
        <v>1041</v>
      </c>
    </row>
    <row r="1259" spans="1:15" x14ac:dyDescent="0.4">
      <c r="A1259" s="1" t="s">
        <v>3113</v>
      </c>
      <c r="B1259" s="1" t="s">
        <v>3096</v>
      </c>
      <c r="C1259" s="1" t="s">
        <v>3116</v>
      </c>
      <c r="D1259" s="1" t="s">
        <v>3104</v>
      </c>
      <c r="E1259" s="1" t="s">
        <v>8024</v>
      </c>
      <c r="F1259" s="1" t="s">
        <v>17</v>
      </c>
      <c r="G1259" s="4" t="str">
        <f>"07028-1019"</f>
        <v>07028-1019</v>
      </c>
      <c r="H1259" s="1">
        <v>0</v>
      </c>
      <c r="I1259" s="1">
        <v>0</v>
      </c>
      <c r="J1259" s="1">
        <v>0</v>
      </c>
      <c r="K1259" s="1">
        <v>0</v>
      </c>
      <c r="L1259" s="1" t="s">
        <v>158</v>
      </c>
      <c r="M1259" s="1" t="s">
        <v>3114</v>
      </c>
      <c r="N1259" s="1" t="s">
        <v>13</v>
      </c>
      <c r="O1259" s="1" t="s">
        <v>3115</v>
      </c>
    </row>
    <row r="1260" spans="1:15" x14ac:dyDescent="0.4">
      <c r="A1260" s="1" t="s">
        <v>1082</v>
      </c>
      <c r="B1260" s="1" t="s">
        <v>1058</v>
      </c>
      <c r="C1260" s="1" t="s">
        <v>1085</v>
      </c>
      <c r="D1260" s="1" t="s">
        <v>1063</v>
      </c>
      <c r="E1260" s="1" t="s">
        <v>8018</v>
      </c>
      <c r="F1260" s="1" t="s">
        <v>17</v>
      </c>
      <c r="G1260" s="4" t="str">
        <f>"07451"</f>
        <v>07451</v>
      </c>
      <c r="H1260" s="1">
        <v>0</v>
      </c>
      <c r="I1260" s="1">
        <v>0</v>
      </c>
      <c r="J1260" s="1">
        <v>0</v>
      </c>
      <c r="K1260" s="1">
        <v>0</v>
      </c>
      <c r="L1260" s="1" t="s">
        <v>671</v>
      </c>
      <c r="M1260" s="1" t="s">
        <v>1083</v>
      </c>
      <c r="N1260" s="1" t="s">
        <v>13</v>
      </c>
      <c r="O1260" s="1" t="s">
        <v>1084</v>
      </c>
    </row>
    <row r="1261" spans="1:15" x14ac:dyDescent="0.4">
      <c r="A1261" s="1" t="s">
        <v>2859</v>
      </c>
      <c r="B1261" s="1" t="s">
        <v>2834</v>
      </c>
      <c r="C1261" s="1" t="s">
        <v>2862</v>
      </c>
      <c r="D1261" s="1" t="s">
        <v>2836</v>
      </c>
      <c r="E1261" s="1" t="s">
        <v>8023</v>
      </c>
      <c r="F1261" s="1" t="s">
        <v>17</v>
      </c>
      <c r="G1261" s="4" t="str">
        <f>"08332"</f>
        <v>08332</v>
      </c>
      <c r="H1261" s="1">
        <v>0</v>
      </c>
      <c r="I1261" s="1">
        <v>0</v>
      </c>
      <c r="J1261" s="1">
        <v>0</v>
      </c>
      <c r="K1261" s="1">
        <v>60</v>
      </c>
      <c r="L1261" s="1" t="s">
        <v>140</v>
      </c>
      <c r="M1261" s="1" t="s">
        <v>2860</v>
      </c>
      <c r="N1261" s="1" t="s">
        <v>1183</v>
      </c>
      <c r="O1261" s="1" t="s">
        <v>2861</v>
      </c>
    </row>
    <row r="1262" spans="1:15" x14ac:dyDescent="0.4">
      <c r="A1262" s="1" t="s">
        <v>3172</v>
      </c>
      <c r="B1262" s="1" t="s">
        <v>3144</v>
      </c>
      <c r="C1262" s="1" t="s">
        <v>3175</v>
      </c>
      <c r="D1262" s="1" t="s">
        <v>3145</v>
      </c>
      <c r="E1262" s="1" t="s">
        <v>8024</v>
      </c>
      <c r="F1262" s="1" t="s">
        <v>17</v>
      </c>
      <c r="G1262" s="4" t="str">
        <f>"07039-1801"</f>
        <v>07039-1801</v>
      </c>
      <c r="H1262" s="1">
        <v>0</v>
      </c>
      <c r="I1262" s="1">
        <v>0</v>
      </c>
      <c r="J1262" s="1">
        <v>0</v>
      </c>
      <c r="K1262" s="1">
        <v>53</v>
      </c>
      <c r="L1262" s="1" t="s">
        <v>1177</v>
      </c>
      <c r="M1262" s="1" t="s">
        <v>3173</v>
      </c>
      <c r="N1262" s="1" t="s">
        <v>13</v>
      </c>
      <c r="O1262" s="1" t="s">
        <v>3174</v>
      </c>
    </row>
    <row r="1263" spans="1:15" x14ac:dyDescent="0.4">
      <c r="A1263" s="1" t="s">
        <v>1101</v>
      </c>
      <c r="B1263" s="1" t="s">
        <v>1100</v>
      </c>
      <c r="C1263" s="1" t="s">
        <v>1104</v>
      </c>
      <c r="D1263" s="1" t="s">
        <v>1105</v>
      </c>
      <c r="E1263" s="1" t="s">
        <v>8018</v>
      </c>
      <c r="F1263" s="1" t="s">
        <v>17</v>
      </c>
      <c r="G1263" s="4" t="str">
        <f>"07661"</f>
        <v>07661</v>
      </c>
      <c r="H1263" s="1">
        <v>0</v>
      </c>
      <c r="I1263" s="1">
        <v>0</v>
      </c>
      <c r="J1263" s="1">
        <v>0</v>
      </c>
      <c r="K1263" s="1">
        <v>0</v>
      </c>
      <c r="L1263" s="1" t="s">
        <v>306</v>
      </c>
      <c r="M1263" s="1" t="s">
        <v>1102</v>
      </c>
      <c r="N1263" s="1" t="s">
        <v>13</v>
      </c>
      <c r="O1263" s="1" t="s">
        <v>1103</v>
      </c>
    </row>
    <row r="1264" spans="1:15" x14ac:dyDescent="0.4">
      <c r="A1264" s="1" t="s">
        <v>1106</v>
      </c>
      <c r="B1264" s="1" t="s">
        <v>1100</v>
      </c>
      <c r="C1264" s="1" t="s">
        <v>1109</v>
      </c>
      <c r="D1264" s="1" t="s">
        <v>943</v>
      </c>
      <c r="E1264" s="1" t="s">
        <v>8018</v>
      </c>
      <c r="F1264" s="1" t="s">
        <v>17</v>
      </c>
      <c r="G1264" s="4" t="str">
        <f>"07649"</f>
        <v>07649</v>
      </c>
      <c r="H1264" s="1">
        <v>0</v>
      </c>
      <c r="I1264" s="1">
        <v>0</v>
      </c>
      <c r="J1264" s="1">
        <v>0</v>
      </c>
      <c r="K1264" s="1">
        <v>0</v>
      </c>
      <c r="L1264" s="1" t="s">
        <v>50</v>
      </c>
      <c r="M1264" s="1" t="s">
        <v>1107</v>
      </c>
      <c r="N1264" s="1" t="s">
        <v>13</v>
      </c>
      <c r="O1264" s="1" t="s">
        <v>1108</v>
      </c>
    </row>
    <row r="1265" spans="1:15" x14ac:dyDescent="0.4">
      <c r="A1265" s="1" t="s">
        <v>5514</v>
      </c>
      <c r="B1265" s="1" t="s">
        <v>5469</v>
      </c>
      <c r="C1265" s="1" t="s">
        <v>5517</v>
      </c>
      <c r="D1265" s="1" t="s">
        <v>2708</v>
      </c>
      <c r="E1265" s="1" t="s">
        <v>8027</v>
      </c>
      <c r="F1265" s="1" t="s">
        <v>17</v>
      </c>
      <c r="G1265" s="4" t="str">
        <f>"07701-5599"</f>
        <v>07701-5599</v>
      </c>
      <c r="H1265" s="1">
        <v>0</v>
      </c>
      <c r="I1265" s="1">
        <v>0</v>
      </c>
      <c r="J1265" s="1">
        <v>0</v>
      </c>
      <c r="K1265" s="1">
        <v>49</v>
      </c>
      <c r="L1265" s="1" t="s">
        <v>250</v>
      </c>
      <c r="M1265" s="1" t="s">
        <v>5515</v>
      </c>
      <c r="N1265" s="1" t="s">
        <v>13</v>
      </c>
      <c r="O1265" s="1" t="s">
        <v>5516</v>
      </c>
    </row>
    <row r="1266" spans="1:15" x14ac:dyDescent="0.4">
      <c r="A1266" s="1" t="s">
        <v>2716</v>
      </c>
      <c r="B1266" s="1" t="s">
        <v>2716</v>
      </c>
      <c r="C1266" s="1" t="s">
        <v>2720</v>
      </c>
      <c r="D1266" s="1" t="s">
        <v>2721</v>
      </c>
      <c r="E1266" s="1" t="s">
        <v>8022</v>
      </c>
      <c r="F1266" s="1" t="s">
        <v>17</v>
      </c>
      <c r="G1266" s="4" t="str">
        <f>"08554"</f>
        <v>08554</v>
      </c>
      <c r="H1266" s="1">
        <v>0</v>
      </c>
      <c r="I1266" s="1">
        <v>0</v>
      </c>
      <c r="J1266" s="1">
        <v>0</v>
      </c>
      <c r="K1266" s="1">
        <v>42</v>
      </c>
      <c r="L1266" s="1" t="s">
        <v>2717</v>
      </c>
      <c r="M1266" s="1" t="s">
        <v>2718</v>
      </c>
      <c r="N1266" s="1" t="s">
        <v>13</v>
      </c>
      <c r="O1266" s="1" t="s">
        <v>2719</v>
      </c>
    </row>
    <row r="1267" spans="1:15" x14ac:dyDescent="0.4">
      <c r="A1267" s="1" t="s">
        <v>1708</v>
      </c>
      <c r="B1267" s="1" t="s">
        <v>1707</v>
      </c>
      <c r="C1267" s="1" t="s">
        <v>1711</v>
      </c>
      <c r="D1267" s="1" t="s">
        <v>1712</v>
      </c>
      <c r="E1267" s="1" t="s">
        <v>8019</v>
      </c>
      <c r="F1267" s="1" t="s">
        <v>17</v>
      </c>
      <c r="G1267" s="4" t="str">
        <f>"08075"</f>
        <v>08075</v>
      </c>
      <c r="H1267" s="1">
        <v>0</v>
      </c>
      <c r="I1267" s="1">
        <v>0</v>
      </c>
      <c r="J1267" s="1">
        <v>0</v>
      </c>
      <c r="K1267" s="1">
        <v>110</v>
      </c>
      <c r="L1267" s="1" t="s">
        <v>153</v>
      </c>
      <c r="M1267" s="1" t="s">
        <v>1709</v>
      </c>
      <c r="N1267" s="1" t="s">
        <v>13</v>
      </c>
      <c r="O1267" s="1" t="s">
        <v>1710</v>
      </c>
    </row>
    <row r="1268" spans="1:15" x14ac:dyDescent="0.4">
      <c r="A1268" s="1" t="s">
        <v>1714</v>
      </c>
      <c r="B1268" s="1" t="s">
        <v>1707</v>
      </c>
      <c r="C1268" s="1" t="s">
        <v>1711</v>
      </c>
      <c r="D1268" s="1" t="s">
        <v>1712</v>
      </c>
      <c r="E1268" s="1" t="s">
        <v>8019</v>
      </c>
      <c r="F1268" s="1" t="s">
        <v>17</v>
      </c>
      <c r="G1268" s="4" t="str">
        <f>"08075"</f>
        <v>08075</v>
      </c>
      <c r="H1268" s="1">
        <v>0</v>
      </c>
      <c r="I1268" s="1">
        <v>0</v>
      </c>
      <c r="J1268" s="1">
        <v>0</v>
      </c>
      <c r="K1268" s="1">
        <v>0</v>
      </c>
      <c r="L1268" s="1" t="s">
        <v>1715</v>
      </c>
      <c r="M1268" s="1" t="s">
        <v>1716</v>
      </c>
      <c r="N1268" s="1" t="s">
        <v>13</v>
      </c>
      <c r="O1268" s="1" t="s">
        <v>1717</v>
      </c>
    </row>
    <row r="1269" spans="1:15" x14ac:dyDescent="0.4">
      <c r="A1269" s="1" t="s">
        <v>1718</v>
      </c>
      <c r="B1269" s="1" t="s">
        <v>1707</v>
      </c>
      <c r="C1269" s="1" t="s">
        <v>1711</v>
      </c>
      <c r="D1269" s="1" t="s">
        <v>1712</v>
      </c>
      <c r="E1269" s="1" t="s">
        <v>8019</v>
      </c>
      <c r="F1269" s="1" t="s">
        <v>17</v>
      </c>
      <c r="G1269" s="4" t="str">
        <f>"08075"</f>
        <v>08075</v>
      </c>
      <c r="H1269" s="1">
        <v>0</v>
      </c>
      <c r="I1269" s="1">
        <v>0</v>
      </c>
      <c r="J1269" s="1">
        <v>0</v>
      </c>
      <c r="K1269" s="1">
        <v>0</v>
      </c>
      <c r="L1269" s="1" t="s">
        <v>1348</v>
      </c>
      <c r="M1269" s="1" t="s">
        <v>1719</v>
      </c>
      <c r="N1269" s="1" t="s">
        <v>13</v>
      </c>
      <c r="O1269" s="1" t="s">
        <v>1720</v>
      </c>
    </row>
    <row r="1270" spans="1:15" x14ac:dyDescent="0.4">
      <c r="A1270" s="1" t="s">
        <v>4382</v>
      </c>
      <c r="B1270" s="1" t="s">
        <v>4368</v>
      </c>
      <c r="C1270" s="1" t="s">
        <v>4386</v>
      </c>
      <c r="D1270" s="1" t="s">
        <v>2701</v>
      </c>
      <c r="E1270" s="1" t="s">
        <v>8026</v>
      </c>
      <c r="F1270" s="1" t="s">
        <v>17</v>
      </c>
      <c r="G1270" s="4" t="str">
        <f>"08540-5425"</f>
        <v>08540-5425</v>
      </c>
      <c r="H1270" s="1">
        <v>5</v>
      </c>
      <c r="I1270" s="1">
        <v>1.6</v>
      </c>
      <c r="J1270" s="1">
        <v>0</v>
      </c>
      <c r="K1270" s="1">
        <v>41</v>
      </c>
      <c r="L1270" s="1" t="s">
        <v>4383</v>
      </c>
      <c r="M1270" s="1" t="s">
        <v>4384</v>
      </c>
      <c r="N1270" s="1" t="s">
        <v>13</v>
      </c>
      <c r="O1270" s="1" t="s">
        <v>4385</v>
      </c>
    </row>
    <row r="1271" spans="1:15" x14ac:dyDescent="0.4">
      <c r="A1271" s="1" t="s">
        <v>1721</v>
      </c>
      <c r="B1271" s="1" t="s">
        <v>1721</v>
      </c>
      <c r="C1271" s="1" t="s">
        <v>1725</v>
      </c>
      <c r="D1271" s="1" t="s">
        <v>1726</v>
      </c>
      <c r="E1271" s="1" t="s">
        <v>8019</v>
      </c>
      <c r="F1271" s="1" t="s">
        <v>17</v>
      </c>
      <c r="G1271" s="4" t="str">
        <f>"08077"</f>
        <v>08077</v>
      </c>
      <c r="H1271" s="1">
        <v>0</v>
      </c>
      <c r="I1271" s="1">
        <v>0</v>
      </c>
      <c r="J1271" s="1">
        <v>0</v>
      </c>
      <c r="K1271" s="1">
        <v>22</v>
      </c>
      <c r="L1271" s="1" t="s">
        <v>1722</v>
      </c>
      <c r="M1271" s="1" t="s">
        <v>1723</v>
      </c>
      <c r="N1271" s="1" t="s">
        <v>13</v>
      </c>
      <c r="O1271" s="1" t="s">
        <v>1724</v>
      </c>
    </row>
    <row r="1272" spans="1:15" x14ac:dyDescent="0.4">
      <c r="A1272" s="1" t="s">
        <v>5735</v>
      </c>
      <c r="B1272" s="1" t="s">
        <v>5728</v>
      </c>
      <c r="C1272" s="1" t="s">
        <v>5738</v>
      </c>
      <c r="D1272" s="1" t="s">
        <v>5734</v>
      </c>
      <c r="E1272" s="1" t="s">
        <v>1503</v>
      </c>
      <c r="F1272" s="1" t="s">
        <v>17</v>
      </c>
      <c r="G1272" s="4" t="str">
        <f>"07834"</f>
        <v>07834</v>
      </c>
      <c r="H1272" s="1">
        <v>0</v>
      </c>
      <c r="I1272" s="1">
        <v>0</v>
      </c>
      <c r="J1272" s="1">
        <v>0</v>
      </c>
      <c r="K1272" s="1">
        <v>73</v>
      </c>
      <c r="L1272" s="1" t="s">
        <v>800</v>
      </c>
      <c r="M1272" s="1" t="s">
        <v>5736</v>
      </c>
      <c r="N1272" s="1" t="s">
        <v>13</v>
      </c>
      <c r="O1272" s="1" t="s">
        <v>5737</v>
      </c>
    </row>
    <row r="1273" spans="1:15" x14ac:dyDescent="0.4">
      <c r="A1273" s="1" t="s">
        <v>4389</v>
      </c>
      <c r="B1273" s="1" t="s">
        <v>4387</v>
      </c>
      <c r="C1273" s="1" t="s">
        <v>4392</v>
      </c>
      <c r="D1273" s="1" t="s">
        <v>4388</v>
      </c>
      <c r="E1273" s="1" t="s">
        <v>8026</v>
      </c>
      <c r="F1273" s="1" t="s">
        <v>17</v>
      </c>
      <c r="G1273" s="4" t="str">
        <f>"08691"</f>
        <v>08691</v>
      </c>
      <c r="H1273" s="1">
        <v>0</v>
      </c>
      <c r="I1273" s="1">
        <v>0</v>
      </c>
      <c r="J1273" s="1">
        <v>0</v>
      </c>
      <c r="K1273" s="1">
        <v>0</v>
      </c>
      <c r="L1273" s="1" t="s">
        <v>1984</v>
      </c>
      <c r="M1273" s="1" t="s">
        <v>4390</v>
      </c>
      <c r="N1273" s="1" t="s">
        <v>13</v>
      </c>
      <c r="O1273" s="1" t="s">
        <v>4391</v>
      </c>
    </row>
    <row r="1274" spans="1:15" x14ac:dyDescent="0.4">
      <c r="A1274" s="1" t="s">
        <v>1125</v>
      </c>
      <c r="B1274" s="1" t="s">
        <v>1118</v>
      </c>
      <c r="C1274" s="1" t="s">
        <v>1128</v>
      </c>
      <c r="D1274" s="1" t="s">
        <v>1123</v>
      </c>
      <c r="E1274" s="1" t="s">
        <v>8018</v>
      </c>
      <c r="F1274" s="1" t="s">
        <v>17</v>
      </c>
      <c r="G1274" s="4" t="str">
        <f>"07675-6241"</f>
        <v>07675-6241</v>
      </c>
      <c r="H1274" s="1">
        <v>0</v>
      </c>
      <c r="I1274" s="1">
        <v>0</v>
      </c>
      <c r="J1274" s="1">
        <v>0</v>
      </c>
      <c r="K1274" s="1">
        <v>56</v>
      </c>
      <c r="L1274" s="1" t="s">
        <v>1038</v>
      </c>
      <c r="M1274" s="1" t="s">
        <v>1126</v>
      </c>
      <c r="N1274" s="1" t="s">
        <v>13</v>
      </c>
      <c r="O1274" s="1" t="s">
        <v>1127</v>
      </c>
    </row>
    <row r="1275" spans="1:15" x14ac:dyDescent="0.4">
      <c r="A1275" s="1" t="s">
        <v>1501</v>
      </c>
      <c r="B1275" s="1" t="s">
        <v>1474</v>
      </c>
      <c r="C1275" s="1" t="s">
        <v>1505</v>
      </c>
      <c r="D1275" s="1" t="s">
        <v>1480</v>
      </c>
      <c r="E1275" s="1" t="s">
        <v>8019</v>
      </c>
      <c r="F1275" s="1" t="s">
        <v>17</v>
      </c>
      <c r="G1275" s="4" t="str">
        <f>"08053"</f>
        <v>08053</v>
      </c>
      <c r="H1275" s="1">
        <v>0</v>
      </c>
      <c r="I1275" s="1">
        <v>0</v>
      </c>
      <c r="J1275" s="1">
        <v>0</v>
      </c>
      <c r="K1275" s="1">
        <v>87</v>
      </c>
      <c r="L1275" s="1" t="s">
        <v>1502</v>
      </c>
      <c r="M1275" s="1" t="s">
        <v>1503</v>
      </c>
      <c r="N1275" s="1" t="s">
        <v>13</v>
      </c>
      <c r="O1275" s="1" t="s">
        <v>1504</v>
      </c>
    </row>
    <row r="1276" spans="1:15" x14ac:dyDescent="0.4">
      <c r="A1276" s="1" t="s">
        <v>1256</v>
      </c>
      <c r="B1276" s="1" t="s">
        <v>1246</v>
      </c>
      <c r="C1276" s="1" t="s">
        <v>1250</v>
      </c>
      <c r="D1276" s="1" t="s">
        <v>1251</v>
      </c>
      <c r="E1276" s="1" t="s">
        <v>8018</v>
      </c>
      <c r="F1276" s="1" t="s">
        <v>17</v>
      </c>
      <c r="G1276" s="4" t="str">
        <f>"07458"</f>
        <v>07458</v>
      </c>
      <c r="H1276" s="1">
        <v>3</v>
      </c>
      <c r="I1276" s="1">
        <v>0.8</v>
      </c>
      <c r="J1276" s="1">
        <v>0</v>
      </c>
      <c r="K1276" s="1">
        <v>105</v>
      </c>
      <c r="L1276" s="1" t="s">
        <v>1257</v>
      </c>
      <c r="M1276" s="1" t="s">
        <v>1258</v>
      </c>
      <c r="N1276" s="1" t="s">
        <v>13</v>
      </c>
      <c r="O1276" s="1" t="s">
        <v>1259</v>
      </c>
    </row>
    <row r="1277" spans="1:15" x14ac:dyDescent="0.4">
      <c r="A1277" s="1" t="s">
        <v>3978</v>
      </c>
      <c r="B1277" s="1" t="s">
        <v>3961</v>
      </c>
      <c r="C1277" s="1" t="s">
        <v>3981</v>
      </c>
      <c r="D1277" s="1" t="s">
        <v>3966</v>
      </c>
      <c r="E1277" s="1" t="s">
        <v>3646</v>
      </c>
      <c r="F1277" s="1" t="s">
        <v>17</v>
      </c>
      <c r="G1277" s="4" t="str">
        <f>"07047-5607"</f>
        <v>07047-5607</v>
      </c>
      <c r="H1277" s="1">
        <v>0</v>
      </c>
      <c r="I1277" s="1">
        <v>0</v>
      </c>
      <c r="J1277" s="1">
        <v>0</v>
      </c>
      <c r="K1277" s="1">
        <v>0</v>
      </c>
      <c r="L1277" s="1" t="s">
        <v>3979</v>
      </c>
      <c r="M1277" s="1" t="s">
        <v>303</v>
      </c>
      <c r="N1277" s="1" t="s">
        <v>13</v>
      </c>
      <c r="O1277" s="1" t="s">
        <v>3980</v>
      </c>
    </row>
    <row r="1278" spans="1:15" x14ac:dyDescent="0.4">
      <c r="A1278" s="1" t="s">
        <v>6215</v>
      </c>
      <c r="B1278" s="1" t="s">
        <v>6201</v>
      </c>
      <c r="C1278" s="1" t="s">
        <v>6218</v>
      </c>
      <c r="D1278" s="1" t="s">
        <v>6206</v>
      </c>
      <c r="E1278" s="1" t="s">
        <v>8028</v>
      </c>
      <c r="F1278" s="1" t="s">
        <v>17</v>
      </c>
      <c r="G1278" s="4" t="str">
        <f>"08005"</f>
        <v>08005</v>
      </c>
      <c r="H1278" s="1">
        <v>0</v>
      </c>
      <c r="I1278" s="1">
        <v>0</v>
      </c>
      <c r="J1278" s="1">
        <v>0</v>
      </c>
      <c r="K1278" s="1">
        <v>0</v>
      </c>
      <c r="L1278" s="1" t="s">
        <v>62</v>
      </c>
      <c r="M1278" s="1" t="s">
        <v>6216</v>
      </c>
      <c r="N1278" s="1" t="s">
        <v>13</v>
      </c>
      <c r="O1278" s="1" t="s">
        <v>6217</v>
      </c>
    </row>
    <row r="1279" spans="1:15" x14ac:dyDescent="0.4">
      <c r="A1279" s="1" t="s">
        <v>5115</v>
      </c>
      <c r="B1279" s="1" t="s">
        <v>5044</v>
      </c>
      <c r="C1279" s="1" t="s">
        <v>5118</v>
      </c>
      <c r="D1279" s="1" t="s">
        <v>5076</v>
      </c>
      <c r="E1279" s="1" t="s">
        <v>4704</v>
      </c>
      <c r="F1279" s="1" t="s">
        <v>17</v>
      </c>
      <c r="G1279" s="4" t="str">
        <f>"08830"</f>
        <v>08830</v>
      </c>
      <c r="H1279" s="1">
        <v>0</v>
      </c>
      <c r="I1279" s="1">
        <v>0</v>
      </c>
      <c r="J1279" s="1">
        <v>0</v>
      </c>
      <c r="K1279" s="1">
        <v>40</v>
      </c>
      <c r="L1279" s="1" t="s">
        <v>702</v>
      </c>
      <c r="M1279" s="1" t="s">
        <v>5116</v>
      </c>
      <c r="N1279" s="1" t="s">
        <v>13</v>
      </c>
      <c r="O1279" s="1" t="s">
        <v>5117</v>
      </c>
    </row>
    <row r="1280" spans="1:15" x14ac:dyDescent="0.4">
      <c r="A1280" s="1" t="s">
        <v>7255</v>
      </c>
      <c r="B1280" s="1" t="s">
        <v>7254</v>
      </c>
      <c r="C1280" s="1" t="s">
        <v>7259</v>
      </c>
      <c r="D1280" s="1" t="s">
        <v>7260</v>
      </c>
      <c r="E1280" s="1" t="s">
        <v>2471</v>
      </c>
      <c r="F1280" s="1" t="s">
        <v>17</v>
      </c>
      <c r="G1280" s="4" t="str">
        <f>"08880"</f>
        <v>08880</v>
      </c>
      <c r="H1280" s="1">
        <v>0</v>
      </c>
      <c r="I1280" s="1">
        <v>0</v>
      </c>
      <c r="J1280" s="1">
        <v>0</v>
      </c>
      <c r="K1280" s="1">
        <v>44</v>
      </c>
      <c r="L1280" s="1" t="s">
        <v>7256</v>
      </c>
      <c r="M1280" s="1" t="s">
        <v>7257</v>
      </c>
      <c r="N1280" s="1" t="s">
        <v>13</v>
      </c>
      <c r="O1280" s="1" t="s">
        <v>7258</v>
      </c>
    </row>
    <row r="1281" spans="1:15" x14ac:dyDescent="0.4">
      <c r="A1281" s="1" t="s">
        <v>7528</v>
      </c>
      <c r="B1281" s="1" t="s">
        <v>7477</v>
      </c>
      <c r="C1281" s="1" t="s">
        <v>7531</v>
      </c>
      <c r="D1281" s="1" t="s">
        <v>3890</v>
      </c>
      <c r="E1281" s="1" t="s">
        <v>7833</v>
      </c>
      <c r="F1281" s="1" t="s">
        <v>17</v>
      </c>
      <c r="G1281" s="4" t="str">
        <f>"07208-3547"</f>
        <v>07208-3547</v>
      </c>
      <c r="H1281" s="1">
        <v>0</v>
      </c>
      <c r="I1281" s="1">
        <v>0</v>
      </c>
      <c r="J1281" s="1">
        <v>0</v>
      </c>
      <c r="K1281" s="1">
        <v>64</v>
      </c>
      <c r="L1281" s="1" t="s">
        <v>3537</v>
      </c>
      <c r="M1281" s="1" t="s">
        <v>7529</v>
      </c>
      <c r="N1281" s="1" t="s">
        <v>13</v>
      </c>
      <c r="O1281" s="1" t="s">
        <v>7530</v>
      </c>
    </row>
    <row r="1282" spans="1:15" x14ac:dyDescent="0.4">
      <c r="A1282" s="1" t="s">
        <v>4884</v>
      </c>
      <c r="B1282" s="1" t="s">
        <v>4858</v>
      </c>
      <c r="C1282" s="1" t="s">
        <v>4886</v>
      </c>
      <c r="D1282" s="1" t="s">
        <v>4719</v>
      </c>
      <c r="E1282" s="1" t="s">
        <v>4704</v>
      </c>
      <c r="F1282" s="1" t="s">
        <v>17</v>
      </c>
      <c r="G1282" s="4" t="str">
        <f>"08861"</f>
        <v>08861</v>
      </c>
      <c r="H1282" s="1">
        <v>0</v>
      </c>
      <c r="I1282" s="1">
        <v>0</v>
      </c>
      <c r="J1282" s="1">
        <v>0</v>
      </c>
      <c r="K1282" s="1">
        <v>88</v>
      </c>
      <c r="L1282" s="1" t="s">
        <v>912</v>
      </c>
      <c r="M1282" s="1" t="s">
        <v>818</v>
      </c>
      <c r="N1282" s="1" t="s">
        <v>13</v>
      </c>
      <c r="O1282" s="1" t="s">
        <v>4885</v>
      </c>
    </row>
    <row r="1283" spans="1:15" x14ac:dyDescent="0.4">
      <c r="A1283" s="1" t="s">
        <v>5911</v>
      </c>
      <c r="B1283" s="1" t="s">
        <v>5896</v>
      </c>
      <c r="C1283" s="1" t="s">
        <v>5914</v>
      </c>
      <c r="D1283" s="1" t="s">
        <v>5910</v>
      </c>
      <c r="E1283" s="1" t="s">
        <v>1503</v>
      </c>
      <c r="F1283" s="1" t="s">
        <v>17</v>
      </c>
      <c r="G1283" s="4" t="str">
        <f>"07045-9560"</f>
        <v>07045-9560</v>
      </c>
      <c r="H1283" s="1">
        <v>0</v>
      </c>
      <c r="I1283" s="1">
        <v>0</v>
      </c>
      <c r="J1283" s="1">
        <v>0</v>
      </c>
      <c r="K1283" s="1">
        <v>0</v>
      </c>
      <c r="L1283" s="1" t="s">
        <v>158</v>
      </c>
      <c r="M1283" s="1" t="s">
        <v>5912</v>
      </c>
      <c r="N1283" s="1" t="s">
        <v>13</v>
      </c>
      <c r="O1283" s="1" t="s">
        <v>5913</v>
      </c>
    </row>
    <row r="1284" spans="1:15" x14ac:dyDescent="0.4">
      <c r="A1284" s="1" t="s">
        <v>2722</v>
      </c>
      <c r="B1284" s="1" t="s">
        <v>2722</v>
      </c>
      <c r="C1284" s="1" t="s">
        <v>2726</v>
      </c>
      <c r="D1284" s="1" t="s">
        <v>2526</v>
      </c>
      <c r="E1284" s="1" t="s">
        <v>8022</v>
      </c>
      <c r="F1284" s="1" t="s">
        <v>17</v>
      </c>
      <c r="G1284" s="4" t="str">
        <f>"07104-1339"</f>
        <v>07104-1339</v>
      </c>
      <c r="H1284" s="1">
        <v>0</v>
      </c>
      <c r="I1284" s="1">
        <v>0</v>
      </c>
      <c r="J1284" s="1">
        <v>0</v>
      </c>
      <c r="K1284" s="1">
        <v>79</v>
      </c>
      <c r="L1284" s="1" t="s">
        <v>2723</v>
      </c>
      <c r="M1284" s="1" t="s">
        <v>2724</v>
      </c>
      <c r="N1284" s="1" t="s">
        <v>13</v>
      </c>
      <c r="O1284" s="1" t="s">
        <v>2725</v>
      </c>
    </row>
    <row r="1285" spans="1:15" x14ac:dyDescent="0.4">
      <c r="A1285" s="1" t="s">
        <v>6748</v>
      </c>
      <c r="B1285" s="1" t="s">
        <v>6692</v>
      </c>
      <c r="C1285" s="1" t="s">
        <v>6751</v>
      </c>
      <c r="D1285" s="1" t="s">
        <v>2460</v>
      </c>
      <c r="E1285" s="1" t="s">
        <v>2670</v>
      </c>
      <c r="F1285" s="1" t="s">
        <v>17</v>
      </c>
      <c r="G1285" s="4" t="str">
        <f>"07501"</f>
        <v>07501</v>
      </c>
      <c r="H1285" s="1">
        <v>0</v>
      </c>
      <c r="I1285" s="1">
        <v>0</v>
      </c>
      <c r="J1285" s="1">
        <v>0</v>
      </c>
      <c r="K1285" s="1">
        <v>46</v>
      </c>
      <c r="L1285" s="1" t="s">
        <v>334</v>
      </c>
      <c r="M1285" s="1" t="s">
        <v>6749</v>
      </c>
      <c r="N1285" s="1" t="s">
        <v>13</v>
      </c>
      <c r="O1285" s="1" t="s">
        <v>6750</v>
      </c>
    </row>
    <row r="1286" spans="1:15" x14ac:dyDescent="0.4">
      <c r="A1286" s="1" t="s">
        <v>5451</v>
      </c>
      <c r="B1286" s="1" t="s">
        <v>5425</v>
      </c>
      <c r="C1286" s="1" t="s">
        <v>5454</v>
      </c>
      <c r="D1286" s="1" t="s">
        <v>5430</v>
      </c>
      <c r="E1286" s="1" t="s">
        <v>8027</v>
      </c>
      <c r="F1286" s="1" t="s">
        <v>17</v>
      </c>
      <c r="G1286" s="4" t="str">
        <f>"07751-1299"</f>
        <v>07751-1299</v>
      </c>
      <c r="H1286" s="1">
        <v>0</v>
      </c>
      <c r="I1286" s="1">
        <v>0</v>
      </c>
      <c r="J1286" s="1">
        <v>0</v>
      </c>
      <c r="K1286" s="1">
        <v>0</v>
      </c>
      <c r="L1286" s="1" t="s">
        <v>267</v>
      </c>
      <c r="M1286" s="1" t="s">
        <v>5452</v>
      </c>
      <c r="N1286" s="1" t="s">
        <v>13</v>
      </c>
      <c r="O1286" s="1" t="s">
        <v>5453</v>
      </c>
    </row>
    <row r="1287" spans="1:15" x14ac:dyDescent="0.4">
      <c r="A1287" s="1" t="s">
        <v>4304</v>
      </c>
      <c r="B1287" s="1" t="s">
        <v>4235</v>
      </c>
      <c r="C1287" s="1" t="s">
        <v>4307</v>
      </c>
      <c r="D1287" s="1" t="s">
        <v>4239</v>
      </c>
      <c r="E1287" s="1" t="s">
        <v>8026</v>
      </c>
      <c r="F1287" s="1" t="s">
        <v>17</v>
      </c>
      <c r="G1287" s="4" t="str">
        <f>"08610-2020"</f>
        <v>08610-2020</v>
      </c>
      <c r="H1287" s="1">
        <v>0</v>
      </c>
      <c r="I1287" s="1">
        <v>0</v>
      </c>
      <c r="J1287" s="1">
        <v>0</v>
      </c>
      <c r="K1287" s="1">
        <v>54</v>
      </c>
      <c r="L1287" s="1" t="s">
        <v>619</v>
      </c>
      <c r="M1287" s="1" t="s">
        <v>4305</v>
      </c>
      <c r="N1287" s="1" t="s">
        <v>13</v>
      </c>
      <c r="O1287" s="1" t="s">
        <v>4306</v>
      </c>
    </row>
    <row r="1288" spans="1:15" x14ac:dyDescent="0.4">
      <c r="A1288" s="1" t="s">
        <v>6069</v>
      </c>
      <c r="B1288" s="1" t="s">
        <v>6029</v>
      </c>
      <c r="C1288" s="1" t="s">
        <v>6071</v>
      </c>
      <c r="D1288" s="1" t="s">
        <v>6061</v>
      </c>
      <c r="E1288" s="1" t="s">
        <v>1503</v>
      </c>
      <c r="F1288" s="1" t="s">
        <v>17</v>
      </c>
      <c r="G1288" s="4" t="str">
        <f>"07054-2205"</f>
        <v>07054-2205</v>
      </c>
      <c r="H1288" s="1">
        <v>0</v>
      </c>
      <c r="I1288" s="1">
        <v>0</v>
      </c>
      <c r="J1288" s="1">
        <v>0</v>
      </c>
      <c r="K1288" s="1">
        <v>55</v>
      </c>
      <c r="L1288" s="1" t="s">
        <v>1365</v>
      </c>
      <c r="M1288" s="1" t="s">
        <v>2183</v>
      </c>
      <c r="N1288" s="1" t="s">
        <v>13</v>
      </c>
      <c r="O1288" s="1" t="s">
        <v>6070</v>
      </c>
    </row>
    <row r="1289" spans="1:15" x14ac:dyDescent="0.4">
      <c r="A1289" s="1" t="s">
        <v>7394</v>
      </c>
      <c r="B1289" s="1" t="s">
        <v>7380</v>
      </c>
      <c r="C1289" s="1" t="s">
        <v>7397</v>
      </c>
      <c r="D1289" s="1" t="s">
        <v>7385</v>
      </c>
      <c r="E1289" s="1" t="s">
        <v>8030</v>
      </c>
      <c r="F1289" s="1" t="s">
        <v>17</v>
      </c>
      <c r="G1289" s="4" t="str">
        <f>"07462-0769"</f>
        <v>07462-0769</v>
      </c>
      <c r="H1289" s="1">
        <v>0</v>
      </c>
      <c r="I1289" s="1">
        <v>0</v>
      </c>
      <c r="J1289" s="1">
        <v>0</v>
      </c>
      <c r="K1289" s="1">
        <v>0</v>
      </c>
      <c r="L1289" s="1" t="s">
        <v>7395</v>
      </c>
      <c r="M1289" s="1" t="s">
        <v>3285</v>
      </c>
      <c r="N1289" s="1" t="s">
        <v>13</v>
      </c>
      <c r="O1289" s="1" t="s">
        <v>7396</v>
      </c>
    </row>
    <row r="1290" spans="1:15" x14ac:dyDescent="0.4">
      <c r="A1290" s="1" t="s">
        <v>7866</v>
      </c>
      <c r="B1290" s="1" t="s">
        <v>7862</v>
      </c>
      <c r="C1290" s="1" t="s">
        <v>7869</v>
      </c>
      <c r="D1290" s="1" t="s">
        <v>7828</v>
      </c>
      <c r="E1290" s="1" t="s">
        <v>7833</v>
      </c>
      <c r="F1290" s="1" t="s">
        <v>17</v>
      </c>
      <c r="G1290" s="4" t="str">
        <f>"07090-4009"</f>
        <v>07090-4009</v>
      </c>
      <c r="H1290" s="1">
        <v>0</v>
      </c>
      <c r="I1290" s="1">
        <v>0</v>
      </c>
      <c r="J1290" s="1">
        <v>0</v>
      </c>
      <c r="K1290" s="1">
        <v>0</v>
      </c>
      <c r="L1290" s="1" t="s">
        <v>50</v>
      </c>
      <c r="M1290" s="1" t="s">
        <v>7867</v>
      </c>
      <c r="N1290" s="1" t="s">
        <v>13</v>
      </c>
      <c r="O1290" s="1" t="s">
        <v>7868</v>
      </c>
    </row>
    <row r="1291" spans="1:15" x14ac:dyDescent="0.4">
      <c r="A1291" s="1" t="s">
        <v>3527</v>
      </c>
      <c r="B1291" s="1" t="s">
        <v>3497</v>
      </c>
      <c r="C1291" s="1" t="s">
        <v>3531</v>
      </c>
      <c r="D1291" s="1" t="s">
        <v>3501</v>
      </c>
      <c r="E1291" s="1" t="s">
        <v>8024</v>
      </c>
      <c r="F1291" s="1" t="s">
        <v>17</v>
      </c>
      <c r="G1291" s="4" t="str">
        <f>"07052-3948"</f>
        <v>07052-3948</v>
      </c>
      <c r="H1291" s="1">
        <v>0</v>
      </c>
      <c r="I1291" s="1">
        <v>0</v>
      </c>
      <c r="J1291" s="1">
        <v>0</v>
      </c>
      <c r="K1291" s="1">
        <v>0</v>
      </c>
      <c r="L1291" s="1" t="s">
        <v>3528</v>
      </c>
      <c r="M1291" s="1" t="s">
        <v>3529</v>
      </c>
      <c r="N1291" s="1" t="s">
        <v>13</v>
      </c>
      <c r="O1291" s="1" t="s">
        <v>3530</v>
      </c>
    </row>
    <row r="1292" spans="1:15" x14ac:dyDescent="0.4">
      <c r="A1292" s="1" t="s">
        <v>5605</v>
      </c>
      <c r="B1292" s="1" t="s">
        <v>5604</v>
      </c>
      <c r="C1292" s="1" t="s">
        <v>5608</v>
      </c>
      <c r="D1292" s="1" t="s">
        <v>5609</v>
      </c>
      <c r="E1292" s="1" t="s">
        <v>8027</v>
      </c>
      <c r="F1292" s="1" t="s">
        <v>17</v>
      </c>
      <c r="G1292" s="4" t="str">
        <f>"08555-0160"</f>
        <v>08555-0160</v>
      </c>
      <c r="H1292" s="1">
        <v>0</v>
      </c>
      <c r="I1292" s="1">
        <v>0</v>
      </c>
      <c r="J1292" s="1">
        <v>0</v>
      </c>
      <c r="K1292" s="1">
        <v>15</v>
      </c>
      <c r="L1292" s="1" t="s">
        <v>94</v>
      </c>
      <c r="M1292" s="1" t="s">
        <v>5606</v>
      </c>
      <c r="N1292" s="1" t="s">
        <v>13</v>
      </c>
      <c r="O1292" s="1" t="s">
        <v>5607</v>
      </c>
    </row>
    <row r="1293" spans="1:15" x14ac:dyDescent="0.4">
      <c r="A1293" s="1" t="s">
        <v>2216</v>
      </c>
      <c r="B1293" s="1" t="s">
        <v>2184</v>
      </c>
      <c r="C1293" s="1" t="s">
        <v>2220</v>
      </c>
      <c r="D1293" s="1" t="s">
        <v>2190</v>
      </c>
      <c r="E1293" s="1" t="s">
        <v>1909</v>
      </c>
      <c r="F1293" s="1" t="s">
        <v>17</v>
      </c>
      <c r="G1293" s="4" t="str">
        <f>"08109-1242"</f>
        <v>08109-1242</v>
      </c>
      <c r="H1293" s="1">
        <v>0</v>
      </c>
      <c r="I1293" s="1">
        <v>0</v>
      </c>
      <c r="J1293" s="1">
        <v>0</v>
      </c>
      <c r="K1293" s="1">
        <v>22</v>
      </c>
      <c r="L1293" s="1" t="s">
        <v>2217</v>
      </c>
      <c r="M1293" s="1" t="s">
        <v>2218</v>
      </c>
      <c r="N1293" s="1" t="s">
        <v>13</v>
      </c>
      <c r="O1293" s="1" t="s">
        <v>2219</v>
      </c>
    </row>
    <row r="1294" spans="1:15" x14ac:dyDescent="0.4">
      <c r="A1294" s="1" t="s">
        <v>1993</v>
      </c>
      <c r="B1294" s="1" t="s">
        <v>1927</v>
      </c>
      <c r="C1294" s="1" t="s">
        <v>1996</v>
      </c>
      <c r="D1294" s="1" t="s">
        <v>1933</v>
      </c>
      <c r="E1294" s="1" t="s">
        <v>1909</v>
      </c>
      <c r="F1294" s="1" t="s">
        <v>17</v>
      </c>
      <c r="G1294" s="4" t="str">
        <f>"08003-3160"</f>
        <v>08003-3160</v>
      </c>
      <c r="H1294" s="1">
        <v>0</v>
      </c>
      <c r="I1294" s="1">
        <v>0</v>
      </c>
      <c r="J1294" s="1">
        <v>0</v>
      </c>
      <c r="K1294" s="1">
        <v>0</v>
      </c>
      <c r="L1294" s="1" t="s">
        <v>434</v>
      </c>
      <c r="M1294" s="1" t="s">
        <v>1994</v>
      </c>
      <c r="N1294" s="1" t="s">
        <v>13</v>
      </c>
      <c r="O1294" s="1" t="s">
        <v>1995</v>
      </c>
    </row>
    <row r="1295" spans="1:15" x14ac:dyDescent="0.4">
      <c r="A1295" s="1" t="s">
        <v>6752</v>
      </c>
      <c r="B1295" s="1" t="s">
        <v>6692</v>
      </c>
      <c r="C1295" s="1" t="s">
        <v>6754</v>
      </c>
      <c r="D1295" s="1" t="s">
        <v>2460</v>
      </c>
      <c r="E1295" s="1" t="s">
        <v>2670</v>
      </c>
      <c r="F1295" s="1" t="s">
        <v>17</v>
      </c>
      <c r="G1295" s="4" t="str">
        <f>"07514"</f>
        <v>07514</v>
      </c>
      <c r="H1295" s="1">
        <v>0</v>
      </c>
      <c r="I1295" s="1">
        <v>0</v>
      </c>
      <c r="J1295" s="1">
        <v>0</v>
      </c>
      <c r="K1295" s="1">
        <v>0</v>
      </c>
      <c r="L1295" s="1" t="s">
        <v>886</v>
      </c>
      <c r="M1295" s="1" t="s">
        <v>355</v>
      </c>
      <c r="N1295" s="1" t="s">
        <v>13</v>
      </c>
      <c r="O1295" s="1" t="s">
        <v>6753</v>
      </c>
    </row>
    <row r="1296" spans="1:15" x14ac:dyDescent="0.4">
      <c r="A1296" s="1" t="s">
        <v>3414</v>
      </c>
      <c r="B1296" s="1" t="s">
        <v>3391</v>
      </c>
      <c r="C1296" s="1" t="s">
        <v>3417</v>
      </c>
      <c r="D1296" s="1" t="s">
        <v>3400</v>
      </c>
      <c r="E1296" s="1" t="s">
        <v>8024</v>
      </c>
      <c r="F1296" s="1" t="s">
        <v>17</v>
      </c>
      <c r="G1296" s="4" t="str">
        <f>"07050"</f>
        <v>07050</v>
      </c>
      <c r="H1296" s="1">
        <v>0</v>
      </c>
      <c r="I1296" s="1">
        <v>0</v>
      </c>
      <c r="J1296" s="1">
        <v>0</v>
      </c>
      <c r="K1296" s="1">
        <v>0</v>
      </c>
      <c r="L1296" s="1" t="s">
        <v>189</v>
      </c>
      <c r="M1296" s="1" t="s">
        <v>3415</v>
      </c>
      <c r="N1296" s="1" t="s">
        <v>13</v>
      </c>
      <c r="O1296" s="1" t="s">
        <v>3416</v>
      </c>
    </row>
    <row r="1297" spans="1:15" x14ac:dyDescent="0.4">
      <c r="A1297" s="1" t="s">
        <v>4887</v>
      </c>
      <c r="B1297" s="1" t="s">
        <v>4858</v>
      </c>
      <c r="C1297" s="1" t="s">
        <v>4890</v>
      </c>
      <c r="D1297" s="1" t="s">
        <v>2421</v>
      </c>
      <c r="E1297" s="1" t="s">
        <v>4704</v>
      </c>
      <c r="F1297" s="1" t="s">
        <v>17</v>
      </c>
      <c r="G1297" s="4" t="str">
        <f>"08861"</f>
        <v>08861</v>
      </c>
      <c r="H1297" s="1">
        <v>0</v>
      </c>
      <c r="I1297" s="1">
        <v>0</v>
      </c>
      <c r="J1297" s="1">
        <v>0</v>
      </c>
      <c r="K1297" s="1">
        <v>226</v>
      </c>
      <c r="L1297" s="1" t="s">
        <v>3289</v>
      </c>
      <c r="M1297" s="1" t="s">
        <v>4888</v>
      </c>
      <c r="N1297" s="1" t="s">
        <v>13</v>
      </c>
      <c r="O1297" s="1" t="s">
        <v>4889</v>
      </c>
    </row>
    <row r="1298" spans="1:15" x14ac:dyDescent="0.4">
      <c r="A1298" s="1" t="s">
        <v>7695</v>
      </c>
      <c r="B1298" s="1" t="s">
        <v>7693</v>
      </c>
      <c r="C1298" s="1" t="s">
        <v>7697</v>
      </c>
      <c r="D1298" s="1" t="s">
        <v>7694</v>
      </c>
      <c r="E1298" s="1" t="s">
        <v>7833</v>
      </c>
      <c r="F1298" s="1" t="s">
        <v>17</v>
      </c>
      <c r="G1298" s="4" t="str">
        <f>"07204-1617"</f>
        <v>07204-1617</v>
      </c>
      <c r="H1298" s="1">
        <v>0</v>
      </c>
      <c r="I1298" s="1">
        <v>0</v>
      </c>
      <c r="J1298" s="1">
        <v>0</v>
      </c>
      <c r="K1298" s="1">
        <v>0</v>
      </c>
      <c r="L1298" s="1" t="s">
        <v>130</v>
      </c>
      <c r="M1298" s="1" t="s">
        <v>2652</v>
      </c>
      <c r="N1298" s="1" t="s">
        <v>13</v>
      </c>
      <c r="O1298" s="1" t="s">
        <v>7696</v>
      </c>
    </row>
    <row r="1299" spans="1:15" x14ac:dyDescent="0.4">
      <c r="A1299" s="1" t="s">
        <v>7698</v>
      </c>
      <c r="B1299" s="1" t="s">
        <v>7693</v>
      </c>
      <c r="C1299" s="1" t="s">
        <v>7701</v>
      </c>
      <c r="D1299" s="1" t="s">
        <v>7694</v>
      </c>
      <c r="E1299" s="1" t="s">
        <v>7833</v>
      </c>
      <c r="F1299" s="1" t="s">
        <v>17</v>
      </c>
      <c r="G1299" s="4" t="str">
        <f>"07204-2217"</f>
        <v>07204-2217</v>
      </c>
      <c r="H1299" s="1">
        <v>0</v>
      </c>
      <c r="I1299" s="1">
        <v>0</v>
      </c>
      <c r="J1299" s="1">
        <v>0</v>
      </c>
      <c r="K1299" s="1">
        <v>0</v>
      </c>
      <c r="L1299" s="1" t="s">
        <v>272</v>
      </c>
      <c r="M1299" s="1" t="s">
        <v>7699</v>
      </c>
      <c r="N1299" s="1" t="s">
        <v>13</v>
      </c>
      <c r="O1299" s="1" t="s">
        <v>7700</v>
      </c>
    </row>
    <row r="1300" spans="1:15" x14ac:dyDescent="0.4">
      <c r="A1300" s="1" t="s">
        <v>2727</v>
      </c>
      <c r="B1300" s="1" t="s">
        <v>2727</v>
      </c>
      <c r="C1300" s="1" t="s">
        <v>2731</v>
      </c>
      <c r="D1300" s="1" t="s">
        <v>2526</v>
      </c>
      <c r="E1300" s="1" t="s">
        <v>8022</v>
      </c>
      <c r="F1300" s="1" t="s">
        <v>17</v>
      </c>
      <c r="G1300" s="4" t="str">
        <f>"07107"</f>
        <v>07107</v>
      </c>
      <c r="H1300" s="1">
        <v>0</v>
      </c>
      <c r="I1300" s="1">
        <v>0</v>
      </c>
      <c r="J1300" s="1">
        <v>0</v>
      </c>
      <c r="K1300" s="1">
        <v>53</v>
      </c>
      <c r="L1300" s="1" t="s">
        <v>2728</v>
      </c>
      <c r="M1300" s="1" t="s">
        <v>2729</v>
      </c>
      <c r="N1300" s="1" t="s">
        <v>1924</v>
      </c>
      <c r="O1300" s="1" t="s">
        <v>2730</v>
      </c>
    </row>
    <row r="1301" spans="1:15" x14ac:dyDescent="0.4">
      <c r="A1301" s="1" t="s">
        <v>5119</v>
      </c>
      <c r="B1301" s="1" t="s">
        <v>5044</v>
      </c>
      <c r="C1301" s="1" t="s">
        <v>5122</v>
      </c>
      <c r="D1301" s="1" t="s">
        <v>4728</v>
      </c>
      <c r="E1301" s="1" t="s">
        <v>4704</v>
      </c>
      <c r="F1301" s="1" t="s">
        <v>17</v>
      </c>
      <c r="G1301" s="4" t="str">
        <f>"07095"</f>
        <v>07095</v>
      </c>
      <c r="H1301" s="1">
        <v>0</v>
      </c>
      <c r="I1301" s="1">
        <v>0</v>
      </c>
      <c r="J1301" s="1">
        <v>0</v>
      </c>
      <c r="K1301" s="1">
        <v>74</v>
      </c>
      <c r="L1301" s="1" t="s">
        <v>55</v>
      </c>
      <c r="M1301" s="1" t="s">
        <v>5120</v>
      </c>
      <c r="N1301" s="1" t="s">
        <v>13</v>
      </c>
      <c r="O1301" s="1" t="s">
        <v>5121</v>
      </c>
    </row>
    <row r="1302" spans="1:15" x14ac:dyDescent="0.4">
      <c r="A1302" s="1" t="s">
        <v>4090</v>
      </c>
      <c r="B1302" s="1" t="s">
        <v>4080</v>
      </c>
      <c r="C1302" s="1" t="s">
        <v>4093</v>
      </c>
      <c r="D1302" s="1" t="s">
        <v>4089</v>
      </c>
      <c r="E1302" s="1" t="s">
        <v>8025</v>
      </c>
      <c r="F1302" s="1" t="s">
        <v>17</v>
      </c>
      <c r="G1302" s="4" t="str">
        <f>"08833-9599"</f>
        <v>08833-9599</v>
      </c>
      <c r="H1302" s="1">
        <v>0</v>
      </c>
      <c r="I1302" s="1">
        <v>0</v>
      </c>
      <c r="J1302" s="1">
        <v>0</v>
      </c>
      <c r="K1302" s="1">
        <v>0</v>
      </c>
      <c r="L1302" s="1" t="s">
        <v>20</v>
      </c>
      <c r="M1302" s="1" t="s">
        <v>4091</v>
      </c>
      <c r="N1302" s="1" t="s">
        <v>13</v>
      </c>
      <c r="O1302" s="1" t="s">
        <v>4092</v>
      </c>
    </row>
    <row r="1303" spans="1:15" x14ac:dyDescent="0.4">
      <c r="A1303" s="1" t="s">
        <v>6153</v>
      </c>
      <c r="B1303" s="1" t="s">
        <v>6141</v>
      </c>
      <c r="C1303" s="1" t="s">
        <v>6156</v>
      </c>
      <c r="D1303" s="1" t="s">
        <v>6145</v>
      </c>
      <c r="E1303" s="1" t="s">
        <v>1503</v>
      </c>
      <c r="F1303" s="1" t="s">
        <v>17</v>
      </c>
      <c r="G1303" s="4" t="str">
        <f>"07876-1640"</f>
        <v>07876-1640</v>
      </c>
      <c r="H1303" s="1">
        <v>0</v>
      </c>
      <c r="I1303" s="1">
        <v>0</v>
      </c>
      <c r="J1303" s="1">
        <v>0</v>
      </c>
      <c r="K1303" s="1">
        <v>0</v>
      </c>
      <c r="L1303" s="1" t="s">
        <v>356</v>
      </c>
      <c r="M1303" s="1" t="s">
        <v>6154</v>
      </c>
      <c r="N1303" s="1" t="s">
        <v>13</v>
      </c>
      <c r="O1303" s="1" t="s">
        <v>6155</v>
      </c>
    </row>
    <row r="1304" spans="1:15" x14ac:dyDescent="0.4">
      <c r="A1304" s="1" t="s">
        <v>365</v>
      </c>
      <c r="B1304" s="1" t="s">
        <v>348</v>
      </c>
      <c r="C1304" s="1" t="s">
        <v>369</v>
      </c>
      <c r="D1304" s="1" t="s">
        <v>353</v>
      </c>
      <c r="E1304" s="1" t="s">
        <v>8018</v>
      </c>
      <c r="F1304" s="1" t="s">
        <v>17</v>
      </c>
      <c r="G1304" s="4" t="str">
        <f>"07621-2902"</f>
        <v>07621-2902</v>
      </c>
      <c r="H1304" s="1">
        <v>0</v>
      </c>
      <c r="I1304" s="1">
        <v>0</v>
      </c>
      <c r="J1304" s="1">
        <v>0</v>
      </c>
      <c r="K1304" s="1">
        <v>0</v>
      </c>
      <c r="L1304" s="1" t="s">
        <v>366</v>
      </c>
      <c r="M1304" s="1" t="s">
        <v>367</v>
      </c>
      <c r="N1304" s="1" t="s">
        <v>13</v>
      </c>
      <c r="O1304" s="1" t="s">
        <v>368</v>
      </c>
    </row>
    <row r="1305" spans="1:15" x14ac:dyDescent="0.4">
      <c r="A1305" s="1" t="s">
        <v>5620</v>
      </c>
      <c r="B1305" s="1" t="s">
        <v>5619</v>
      </c>
      <c r="C1305" s="1" t="s">
        <v>5623</v>
      </c>
      <c r="D1305" s="1" t="s">
        <v>5614</v>
      </c>
      <c r="E1305" s="1" t="s">
        <v>8027</v>
      </c>
      <c r="F1305" s="1" t="s">
        <v>17</v>
      </c>
      <c r="G1305" s="4" t="str">
        <f>"07760-1896"</f>
        <v>07760-1896</v>
      </c>
      <c r="H1305" s="1">
        <v>0</v>
      </c>
      <c r="I1305" s="1">
        <v>0</v>
      </c>
      <c r="J1305" s="1">
        <v>0</v>
      </c>
      <c r="K1305" s="1">
        <v>0</v>
      </c>
      <c r="L1305" s="1" t="s">
        <v>1038</v>
      </c>
      <c r="M1305" s="1" t="s">
        <v>5621</v>
      </c>
      <c r="N1305" s="1" t="s">
        <v>13</v>
      </c>
      <c r="O1305" s="1" t="s">
        <v>5622</v>
      </c>
    </row>
    <row r="1306" spans="1:15" x14ac:dyDescent="0.4">
      <c r="A1306" s="1" t="s">
        <v>6219</v>
      </c>
      <c r="B1306" s="1" t="s">
        <v>6201</v>
      </c>
      <c r="C1306" s="1" t="s">
        <v>6222</v>
      </c>
      <c r="D1306" s="1" t="s">
        <v>6206</v>
      </c>
      <c r="E1306" s="1" t="s">
        <v>8028</v>
      </c>
      <c r="F1306" s="1" t="s">
        <v>17</v>
      </c>
      <c r="G1306" s="4" t="str">
        <f>"08005"</f>
        <v>08005</v>
      </c>
      <c r="H1306" s="1">
        <v>0</v>
      </c>
      <c r="I1306" s="1">
        <v>0</v>
      </c>
      <c r="J1306" s="1">
        <v>0</v>
      </c>
      <c r="K1306" s="1">
        <v>13</v>
      </c>
      <c r="L1306" s="1" t="s">
        <v>1702</v>
      </c>
      <c r="M1306" s="1" t="s">
        <v>6220</v>
      </c>
      <c r="N1306" s="1" t="s">
        <v>13</v>
      </c>
      <c r="O1306" s="1" t="s">
        <v>6221</v>
      </c>
    </row>
    <row r="1307" spans="1:15" x14ac:dyDescent="0.4">
      <c r="A1307" s="1" t="s">
        <v>1146</v>
      </c>
      <c r="B1307" s="1" t="s">
        <v>1134</v>
      </c>
      <c r="C1307" s="1" t="s">
        <v>1149</v>
      </c>
      <c r="D1307" s="1" t="s">
        <v>1139</v>
      </c>
      <c r="E1307" s="1" t="s">
        <v>8018</v>
      </c>
      <c r="F1307" s="1" t="s">
        <v>17</v>
      </c>
      <c r="G1307" s="4" t="str">
        <f>"07070-1965"</f>
        <v>07070-1965</v>
      </c>
      <c r="H1307" s="1">
        <v>0</v>
      </c>
      <c r="I1307" s="1">
        <v>0</v>
      </c>
      <c r="J1307" s="1">
        <v>0</v>
      </c>
      <c r="K1307" s="1">
        <v>0</v>
      </c>
      <c r="L1307" s="1" t="s">
        <v>123</v>
      </c>
      <c r="M1307" s="1" t="s">
        <v>1147</v>
      </c>
      <c r="N1307" s="1" t="s">
        <v>13</v>
      </c>
      <c r="O1307" s="1" t="s">
        <v>1148</v>
      </c>
    </row>
    <row r="1308" spans="1:15" x14ac:dyDescent="0.4">
      <c r="A1308" s="1" t="s">
        <v>6894</v>
      </c>
      <c r="B1308" s="1" t="s">
        <v>6857</v>
      </c>
      <c r="C1308" s="1" t="s">
        <v>6898</v>
      </c>
      <c r="D1308" s="1" t="s">
        <v>6682</v>
      </c>
      <c r="E1308" s="1" t="s">
        <v>2670</v>
      </c>
      <c r="F1308" s="1" t="s">
        <v>17</v>
      </c>
      <c r="G1308" s="4" t="str">
        <f>"07470-7411"</f>
        <v>07470-7411</v>
      </c>
      <c r="H1308" s="1">
        <v>0</v>
      </c>
      <c r="I1308" s="1">
        <v>0</v>
      </c>
      <c r="J1308" s="1">
        <v>0</v>
      </c>
      <c r="K1308" s="1">
        <v>56</v>
      </c>
      <c r="L1308" s="1" t="s">
        <v>6895</v>
      </c>
      <c r="M1308" s="1" t="s">
        <v>6896</v>
      </c>
      <c r="N1308" s="1" t="s">
        <v>13</v>
      </c>
      <c r="O1308" s="1" t="s">
        <v>6897</v>
      </c>
    </row>
    <row r="1309" spans="1:15" x14ac:dyDescent="0.4">
      <c r="A1309" s="1" t="s">
        <v>1166</v>
      </c>
      <c r="B1309" s="1" t="s">
        <v>1157</v>
      </c>
      <c r="C1309" s="1" t="s">
        <v>1170</v>
      </c>
      <c r="D1309" s="1" t="s">
        <v>1161</v>
      </c>
      <c r="E1309" s="1" t="s">
        <v>8018</v>
      </c>
      <c r="F1309" s="1" t="s">
        <v>17</v>
      </c>
      <c r="G1309" s="4" t="str">
        <f>"07663"</f>
        <v>07663</v>
      </c>
      <c r="H1309" s="1">
        <v>0</v>
      </c>
      <c r="I1309" s="1">
        <v>0</v>
      </c>
      <c r="J1309" s="1">
        <v>0</v>
      </c>
      <c r="K1309" s="1">
        <v>0</v>
      </c>
      <c r="L1309" s="1" t="s">
        <v>1167</v>
      </c>
      <c r="M1309" s="1" t="s">
        <v>1168</v>
      </c>
      <c r="N1309" s="1" t="s">
        <v>13</v>
      </c>
      <c r="O1309" s="1" t="s">
        <v>1169</v>
      </c>
    </row>
    <row r="1310" spans="1:15" x14ac:dyDescent="0.4">
      <c r="A1310" s="1" t="s">
        <v>7029</v>
      </c>
      <c r="B1310" s="1" t="s">
        <v>7028</v>
      </c>
      <c r="C1310" s="1" t="s">
        <v>7031</v>
      </c>
      <c r="D1310" s="1" t="s">
        <v>7027</v>
      </c>
      <c r="E1310" s="1" t="s">
        <v>8029</v>
      </c>
      <c r="F1310" s="1" t="s">
        <v>17</v>
      </c>
      <c r="G1310" s="4" t="str">
        <f>"08098-0350"</f>
        <v>08098-0350</v>
      </c>
      <c r="H1310" s="1">
        <v>0</v>
      </c>
      <c r="I1310" s="1">
        <v>0</v>
      </c>
      <c r="J1310" s="1">
        <v>0</v>
      </c>
      <c r="K1310" s="1">
        <v>0</v>
      </c>
      <c r="L1310" s="1" t="s">
        <v>30</v>
      </c>
      <c r="M1310" s="1" t="s">
        <v>6927</v>
      </c>
      <c r="N1310" s="1" t="s">
        <v>13</v>
      </c>
      <c r="O1310" s="1" t="s">
        <v>7030</v>
      </c>
    </row>
    <row r="1311" spans="1:15" x14ac:dyDescent="0.4">
      <c r="A1311" s="1" t="s">
        <v>5803</v>
      </c>
      <c r="B1311" s="1" t="s">
        <v>5792</v>
      </c>
      <c r="C1311" s="1" t="s">
        <v>5805</v>
      </c>
      <c r="D1311" s="1" t="s">
        <v>5791</v>
      </c>
      <c r="E1311" s="1" t="s">
        <v>1503</v>
      </c>
      <c r="F1311" s="1" t="s">
        <v>17</v>
      </c>
      <c r="G1311" s="4" t="str">
        <f>"07981"</f>
        <v>07981</v>
      </c>
      <c r="H1311" s="1">
        <v>0</v>
      </c>
      <c r="I1311" s="1">
        <v>0</v>
      </c>
      <c r="J1311" s="1">
        <v>0</v>
      </c>
      <c r="K1311" s="1">
        <v>41</v>
      </c>
      <c r="L1311" s="1" t="s">
        <v>4313</v>
      </c>
      <c r="M1311" s="1" t="s">
        <v>5799</v>
      </c>
      <c r="N1311" s="1" t="s">
        <v>13</v>
      </c>
      <c r="O1311" s="1" t="s">
        <v>5804</v>
      </c>
    </row>
    <row r="1312" spans="1:15" x14ac:dyDescent="0.4">
      <c r="A1312" s="1" t="s">
        <v>7009</v>
      </c>
      <c r="B1312" s="1" t="s">
        <v>7008</v>
      </c>
      <c r="C1312" s="1" t="s">
        <v>7012</v>
      </c>
      <c r="D1312" s="1" t="s">
        <v>2508</v>
      </c>
      <c r="E1312" s="1" t="s">
        <v>8029</v>
      </c>
      <c r="F1312" s="1" t="s">
        <v>17</v>
      </c>
      <c r="G1312" s="4" t="str">
        <f>"08079-9048"</f>
        <v>08079-9048</v>
      </c>
      <c r="H1312" s="1">
        <v>0</v>
      </c>
      <c r="I1312" s="1">
        <v>0</v>
      </c>
      <c r="J1312" s="1">
        <v>0</v>
      </c>
      <c r="K1312" s="1">
        <v>0</v>
      </c>
      <c r="L1312" s="1" t="s">
        <v>434</v>
      </c>
      <c r="M1312" s="1" t="s">
        <v>7010</v>
      </c>
      <c r="N1312" s="1" t="s">
        <v>13</v>
      </c>
      <c r="O1312" s="1" t="s">
        <v>7011</v>
      </c>
    </row>
    <row r="1313" spans="1:15" x14ac:dyDescent="0.4">
      <c r="A1313" s="1" t="s">
        <v>7013</v>
      </c>
      <c r="B1313" s="1" t="s">
        <v>7008</v>
      </c>
      <c r="C1313" s="1" t="s">
        <v>7016</v>
      </c>
      <c r="D1313" s="1" t="s">
        <v>2508</v>
      </c>
      <c r="E1313" s="1" t="s">
        <v>8029</v>
      </c>
      <c r="F1313" s="1" t="s">
        <v>17</v>
      </c>
      <c r="G1313" s="4" t="str">
        <f>"08079-9048"</f>
        <v>08079-9048</v>
      </c>
      <c r="H1313" s="1">
        <v>0</v>
      </c>
      <c r="I1313" s="1">
        <v>0</v>
      </c>
      <c r="J1313" s="1">
        <v>0</v>
      </c>
      <c r="K1313" s="1">
        <v>0</v>
      </c>
      <c r="L1313" s="1" t="s">
        <v>568</v>
      </c>
      <c r="M1313" s="1" t="s">
        <v>7014</v>
      </c>
      <c r="N1313" s="1" t="s">
        <v>13</v>
      </c>
      <c r="O1313" s="1" t="s">
        <v>7015</v>
      </c>
    </row>
    <row r="1314" spans="1:15" x14ac:dyDescent="0.4">
      <c r="A1314" s="1" t="s">
        <v>1172</v>
      </c>
      <c r="B1314" s="1" t="s">
        <v>1157</v>
      </c>
      <c r="C1314" s="1" t="s">
        <v>1176</v>
      </c>
      <c r="D1314" s="1" t="s">
        <v>1161</v>
      </c>
      <c r="E1314" s="1" t="s">
        <v>8018</v>
      </c>
      <c r="F1314" s="1" t="s">
        <v>17</v>
      </c>
      <c r="G1314" s="4" t="str">
        <f>"07663"</f>
        <v>07663</v>
      </c>
      <c r="H1314" s="1">
        <v>0</v>
      </c>
      <c r="I1314" s="1">
        <v>0</v>
      </c>
      <c r="J1314" s="1">
        <v>0</v>
      </c>
      <c r="K1314" s="1">
        <v>37</v>
      </c>
      <c r="L1314" s="1" t="s">
        <v>1173</v>
      </c>
      <c r="M1314" s="1" t="s">
        <v>1174</v>
      </c>
      <c r="N1314" s="1" t="s">
        <v>13</v>
      </c>
      <c r="O1314" s="1" t="s">
        <v>1175</v>
      </c>
    </row>
    <row r="1315" spans="1:15" x14ac:dyDescent="0.4">
      <c r="A1315" s="1" t="s">
        <v>7626</v>
      </c>
      <c r="B1315" s="1" t="s">
        <v>7620</v>
      </c>
      <c r="C1315" s="1" t="s">
        <v>7629</v>
      </c>
      <c r="D1315" s="1" t="s">
        <v>7605</v>
      </c>
      <c r="E1315" s="1" t="s">
        <v>7833</v>
      </c>
      <c r="F1315" s="1" t="s">
        <v>17</v>
      </c>
      <c r="G1315" s="4" t="str">
        <f>"07974-2403"</f>
        <v>07974-2403</v>
      </c>
      <c r="H1315" s="1">
        <v>0</v>
      </c>
      <c r="I1315" s="1">
        <v>0</v>
      </c>
      <c r="J1315" s="1">
        <v>0</v>
      </c>
      <c r="K1315" s="1">
        <v>80</v>
      </c>
      <c r="L1315" s="1" t="s">
        <v>2410</v>
      </c>
      <c r="M1315" s="1" t="s">
        <v>7627</v>
      </c>
      <c r="N1315" s="1" t="s">
        <v>13</v>
      </c>
      <c r="O1315" s="1" t="s">
        <v>7628</v>
      </c>
    </row>
    <row r="1316" spans="1:15" x14ac:dyDescent="0.4">
      <c r="A1316" s="1" t="s">
        <v>4951</v>
      </c>
      <c r="B1316" s="1" t="s">
        <v>4939</v>
      </c>
      <c r="C1316" s="1" t="s">
        <v>4954</v>
      </c>
      <c r="D1316" s="1" t="s">
        <v>4632</v>
      </c>
      <c r="E1316" s="1" t="s">
        <v>4704</v>
      </c>
      <c r="F1316" s="1" t="s">
        <v>17</v>
      </c>
      <c r="G1316" s="4" t="str">
        <f>"08859"</f>
        <v>08859</v>
      </c>
      <c r="H1316" s="1">
        <v>0</v>
      </c>
      <c r="I1316" s="1">
        <v>0</v>
      </c>
      <c r="J1316" s="1">
        <v>0</v>
      </c>
      <c r="K1316" s="1">
        <v>0</v>
      </c>
      <c r="L1316" s="1" t="s">
        <v>1027</v>
      </c>
      <c r="M1316" s="1" t="s">
        <v>4952</v>
      </c>
      <c r="N1316" s="1" t="s">
        <v>13</v>
      </c>
      <c r="O1316" s="1" t="s">
        <v>4953</v>
      </c>
    </row>
    <row r="1317" spans="1:15" x14ac:dyDescent="0.4">
      <c r="A1317" s="1" t="s">
        <v>4891</v>
      </c>
      <c r="B1317" s="1" t="s">
        <v>4858</v>
      </c>
      <c r="C1317" s="1" t="s">
        <v>4895</v>
      </c>
      <c r="D1317" s="1" t="s">
        <v>4719</v>
      </c>
      <c r="E1317" s="1" t="s">
        <v>4704</v>
      </c>
      <c r="F1317" s="1" t="s">
        <v>17</v>
      </c>
      <c r="G1317" s="4" t="str">
        <f>"08861-3205"</f>
        <v>08861-3205</v>
      </c>
      <c r="H1317" s="1">
        <v>0</v>
      </c>
      <c r="I1317" s="1">
        <v>0</v>
      </c>
      <c r="J1317" s="1">
        <v>0</v>
      </c>
      <c r="K1317" s="1">
        <v>0</v>
      </c>
      <c r="L1317" s="1" t="s">
        <v>4892</v>
      </c>
      <c r="M1317" s="1" t="s">
        <v>4893</v>
      </c>
      <c r="N1317" s="1" t="s">
        <v>13</v>
      </c>
      <c r="O1317" s="1" t="s">
        <v>4894</v>
      </c>
    </row>
    <row r="1318" spans="1:15" x14ac:dyDescent="0.4">
      <c r="A1318" s="1" t="s">
        <v>1469</v>
      </c>
      <c r="B1318" s="1" t="s">
        <v>1467</v>
      </c>
      <c r="C1318" s="1" t="s">
        <v>1473</v>
      </c>
      <c r="D1318" s="1" t="s">
        <v>1468</v>
      </c>
      <c r="E1318" s="1" t="s">
        <v>8019</v>
      </c>
      <c r="F1318" s="1" t="s">
        <v>17</v>
      </c>
      <c r="G1318" s="4" t="str">
        <f>"08010"</f>
        <v>08010</v>
      </c>
      <c r="H1318" s="1">
        <v>0</v>
      </c>
      <c r="I1318" s="1">
        <v>0</v>
      </c>
      <c r="J1318" s="1">
        <v>0</v>
      </c>
      <c r="K1318" s="1">
        <v>0</v>
      </c>
      <c r="L1318" s="1" t="s">
        <v>1470</v>
      </c>
      <c r="M1318" s="1" t="s">
        <v>1471</v>
      </c>
      <c r="N1318" s="1" t="s">
        <v>13</v>
      </c>
      <c r="O1318" s="1" t="s">
        <v>1472</v>
      </c>
    </row>
    <row r="1319" spans="1:15" x14ac:dyDescent="0.4">
      <c r="A1319" s="1" t="s">
        <v>3608</v>
      </c>
      <c r="B1319" s="1" t="s">
        <v>3602</v>
      </c>
      <c r="C1319" s="1" t="s">
        <v>3612</v>
      </c>
      <c r="D1319" s="1" t="s">
        <v>3607</v>
      </c>
      <c r="E1319" s="1" t="s">
        <v>8020</v>
      </c>
      <c r="F1319" s="1" t="s">
        <v>17</v>
      </c>
      <c r="G1319" s="4" t="str">
        <f>"08056"</f>
        <v>08056</v>
      </c>
      <c r="H1319" s="1">
        <v>0</v>
      </c>
      <c r="I1319" s="1">
        <v>0</v>
      </c>
      <c r="J1319" s="1">
        <v>0</v>
      </c>
      <c r="K1319" s="1">
        <v>0</v>
      </c>
      <c r="L1319" s="1" t="s">
        <v>3609</v>
      </c>
      <c r="M1319" s="1" t="s">
        <v>3610</v>
      </c>
      <c r="N1319" s="1" t="s">
        <v>13</v>
      </c>
      <c r="O1319" s="1" t="s">
        <v>3611</v>
      </c>
    </row>
    <row r="1320" spans="1:15" x14ac:dyDescent="0.4">
      <c r="A1320" s="1" t="s">
        <v>2258</v>
      </c>
      <c r="B1320" s="1" t="s">
        <v>2252</v>
      </c>
      <c r="C1320" s="1" t="s">
        <v>2261</v>
      </c>
      <c r="D1320" s="1" t="s">
        <v>2257</v>
      </c>
      <c r="E1320" s="1" t="s">
        <v>1909</v>
      </c>
      <c r="F1320" s="1" t="s">
        <v>17</v>
      </c>
      <c r="G1320" s="4" t="str">
        <f>"08084"</f>
        <v>08084</v>
      </c>
      <c r="H1320" s="1">
        <v>0</v>
      </c>
      <c r="I1320" s="1">
        <v>0</v>
      </c>
      <c r="J1320" s="1">
        <v>0</v>
      </c>
      <c r="K1320" s="1">
        <v>0</v>
      </c>
      <c r="L1320" s="1" t="s">
        <v>773</v>
      </c>
      <c r="M1320" s="1" t="s">
        <v>2259</v>
      </c>
      <c r="N1320" s="1" t="s">
        <v>13</v>
      </c>
      <c r="O1320" s="1" t="s">
        <v>2260</v>
      </c>
    </row>
    <row r="1321" spans="1:15" x14ac:dyDescent="0.4">
      <c r="A1321" s="1" t="s">
        <v>1698</v>
      </c>
      <c r="B1321" s="1" t="s">
        <v>1666</v>
      </c>
      <c r="C1321" s="1" t="s">
        <v>1701</v>
      </c>
      <c r="D1321" s="1" t="s">
        <v>1677</v>
      </c>
      <c r="E1321" s="1" t="s">
        <v>8019</v>
      </c>
      <c r="F1321" s="1" t="s">
        <v>17</v>
      </c>
      <c r="G1321" s="4" t="str">
        <f>"08068"</f>
        <v>08068</v>
      </c>
      <c r="H1321" s="1">
        <v>0</v>
      </c>
      <c r="I1321" s="1">
        <v>0</v>
      </c>
      <c r="J1321" s="1">
        <v>0</v>
      </c>
      <c r="K1321" s="1">
        <v>0</v>
      </c>
      <c r="L1321" s="1" t="s">
        <v>832</v>
      </c>
      <c r="M1321" s="1" t="s">
        <v>1699</v>
      </c>
      <c r="N1321" s="1" t="s">
        <v>13</v>
      </c>
      <c r="O1321" s="1" t="s">
        <v>1700</v>
      </c>
    </row>
    <row r="1322" spans="1:15" x14ac:dyDescent="0.4">
      <c r="A1322" s="1" t="s">
        <v>2348</v>
      </c>
      <c r="B1322" s="1" t="s">
        <v>2343</v>
      </c>
      <c r="C1322" s="1" t="s">
        <v>2352</v>
      </c>
      <c r="D1322" s="1" t="s">
        <v>2311</v>
      </c>
      <c r="E1322" s="1" t="s">
        <v>8021</v>
      </c>
      <c r="F1322" s="1" t="s">
        <v>17</v>
      </c>
      <c r="G1322" s="4" t="str">
        <f>"08204-4650"</f>
        <v>08204-4650</v>
      </c>
      <c r="H1322" s="1">
        <v>0</v>
      </c>
      <c r="I1322" s="1">
        <v>0</v>
      </c>
      <c r="J1322" s="1">
        <v>0</v>
      </c>
      <c r="K1322" s="1">
        <v>0</v>
      </c>
      <c r="L1322" s="1" t="s">
        <v>2349</v>
      </c>
      <c r="M1322" s="1" t="s">
        <v>2350</v>
      </c>
      <c r="N1322" s="1" t="s">
        <v>13</v>
      </c>
      <c r="O1322" s="1" t="s">
        <v>2351</v>
      </c>
    </row>
    <row r="1323" spans="1:15" x14ac:dyDescent="0.4">
      <c r="A1323" s="1" t="s">
        <v>6009</v>
      </c>
      <c r="B1323" s="1" t="s">
        <v>5991</v>
      </c>
      <c r="C1323" s="1" t="s">
        <v>6012</v>
      </c>
      <c r="D1323" s="1" t="s">
        <v>5996</v>
      </c>
      <c r="E1323" s="1" t="s">
        <v>1503</v>
      </c>
      <c r="F1323" s="1" t="s">
        <v>17</v>
      </c>
      <c r="G1323" s="4" t="str">
        <f>"07828"</f>
        <v>07828</v>
      </c>
      <c r="H1323" s="1">
        <v>0</v>
      </c>
      <c r="I1323" s="1">
        <v>0</v>
      </c>
      <c r="J1323" s="1">
        <v>0</v>
      </c>
      <c r="K1323" s="1">
        <v>55</v>
      </c>
      <c r="L1323" s="1" t="s">
        <v>38</v>
      </c>
      <c r="M1323" s="1" t="s">
        <v>6010</v>
      </c>
      <c r="N1323" s="1" t="s">
        <v>13</v>
      </c>
      <c r="O1323" s="1" t="s">
        <v>6011</v>
      </c>
    </row>
    <row r="1324" spans="1:15" x14ac:dyDescent="0.4">
      <c r="A1324" s="1" t="s">
        <v>4018</v>
      </c>
      <c r="B1324" s="1" t="s">
        <v>3999</v>
      </c>
      <c r="C1324" s="1" t="s">
        <v>4021</v>
      </c>
      <c r="D1324" s="1" t="s">
        <v>4004</v>
      </c>
      <c r="E1324" s="1" t="s">
        <v>3646</v>
      </c>
      <c r="F1324" s="1" t="s">
        <v>17</v>
      </c>
      <c r="G1324" s="4" t="str">
        <f>"07087"</f>
        <v>07087</v>
      </c>
      <c r="H1324" s="1">
        <v>0</v>
      </c>
      <c r="I1324" s="1">
        <v>0</v>
      </c>
      <c r="J1324" s="1">
        <v>0</v>
      </c>
      <c r="K1324" s="1">
        <v>0</v>
      </c>
      <c r="L1324" s="1" t="s">
        <v>497</v>
      </c>
      <c r="M1324" s="1" t="s">
        <v>4019</v>
      </c>
      <c r="N1324" s="1" t="s">
        <v>13</v>
      </c>
      <c r="O1324" s="1" t="s">
        <v>4020</v>
      </c>
    </row>
    <row r="1325" spans="1:15" x14ac:dyDescent="0.4">
      <c r="A1325" s="1" t="s">
        <v>4308</v>
      </c>
      <c r="B1325" s="1" t="s">
        <v>4235</v>
      </c>
      <c r="C1325" s="1" t="s">
        <v>4311</v>
      </c>
      <c r="D1325" s="1" t="s">
        <v>4239</v>
      </c>
      <c r="E1325" s="1" t="s">
        <v>8026</v>
      </c>
      <c r="F1325" s="1" t="s">
        <v>17</v>
      </c>
      <c r="G1325" s="4" t="str">
        <f>"08690-2603"</f>
        <v>08690-2603</v>
      </c>
      <c r="H1325" s="1">
        <v>0</v>
      </c>
      <c r="I1325" s="1">
        <v>0</v>
      </c>
      <c r="J1325" s="1">
        <v>0</v>
      </c>
      <c r="K1325" s="1">
        <v>47</v>
      </c>
      <c r="L1325" s="1" t="s">
        <v>2069</v>
      </c>
      <c r="M1325" s="1" t="s">
        <v>4309</v>
      </c>
      <c r="N1325" s="1" t="s">
        <v>13</v>
      </c>
      <c r="O1325" s="1" t="s">
        <v>4310</v>
      </c>
    </row>
    <row r="1326" spans="1:15" x14ac:dyDescent="0.4">
      <c r="A1326" s="1" t="s">
        <v>4955</v>
      </c>
      <c r="B1326" s="1" t="s">
        <v>4939</v>
      </c>
      <c r="C1326" s="1" t="s">
        <v>4958</v>
      </c>
      <c r="D1326" s="1" t="s">
        <v>4632</v>
      </c>
      <c r="E1326" s="1" t="s">
        <v>4704</v>
      </c>
      <c r="F1326" s="1" t="s">
        <v>17</v>
      </c>
      <c r="G1326" s="4" t="str">
        <f>"08859-1050"</f>
        <v>08859-1050</v>
      </c>
      <c r="H1326" s="1">
        <v>0</v>
      </c>
      <c r="I1326" s="1">
        <v>0</v>
      </c>
      <c r="J1326" s="1">
        <v>0</v>
      </c>
      <c r="K1326" s="1">
        <v>0</v>
      </c>
      <c r="L1326" s="1" t="s">
        <v>153</v>
      </c>
      <c r="M1326" s="1" t="s">
        <v>4956</v>
      </c>
      <c r="N1326" s="1" t="s">
        <v>13</v>
      </c>
      <c r="O1326" s="1" t="s">
        <v>4957</v>
      </c>
    </row>
    <row r="1327" spans="1:15" x14ac:dyDescent="0.4">
      <c r="A1327" s="1" t="s">
        <v>4959</v>
      </c>
      <c r="B1327" s="1" t="s">
        <v>4939</v>
      </c>
      <c r="C1327" s="1" t="s">
        <v>4962</v>
      </c>
      <c r="D1327" s="1" t="s">
        <v>4632</v>
      </c>
      <c r="E1327" s="1" t="s">
        <v>4704</v>
      </c>
      <c r="F1327" s="1" t="s">
        <v>17</v>
      </c>
      <c r="G1327" s="4" t="str">
        <f>"08859-1050"</f>
        <v>08859-1050</v>
      </c>
      <c r="H1327" s="1">
        <v>0</v>
      </c>
      <c r="I1327" s="1">
        <v>0</v>
      </c>
      <c r="J1327" s="1">
        <v>0</v>
      </c>
      <c r="K1327" s="1">
        <v>0</v>
      </c>
      <c r="L1327" s="1" t="s">
        <v>657</v>
      </c>
      <c r="M1327" s="1" t="s">
        <v>4960</v>
      </c>
      <c r="N1327" s="1" t="s">
        <v>13</v>
      </c>
      <c r="O1327" s="1" t="s">
        <v>4961</v>
      </c>
    </row>
    <row r="1328" spans="1:15" x14ac:dyDescent="0.4">
      <c r="A1328" s="1" t="s">
        <v>6545</v>
      </c>
      <c r="B1328" s="1" t="s">
        <v>6536</v>
      </c>
      <c r="C1328" s="1" t="s">
        <v>6549</v>
      </c>
      <c r="D1328" s="1" t="s">
        <v>2481</v>
      </c>
      <c r="E1328" s="1" t="s">
        <v>2670</v>
      </c>
      <c r="F1328" s="1" t="s">
        <v>17</v>
      </c>
      <c r="G1328" s="4" t="str">
        <f>"07011"</f>
        <v>07011</v>
      </c>
      <c r="H1328" s="1">
        <v>0</v>
      </c>
      <c r="I1328" s="1">
        <v>0</v>
      </c>
      <c r="J1328" s="1">
        <v>0</v>
      </c>
      <c r="K1328" s="1">
        <v>51</v>
      </c>
      <c r="L1328" s="1" t="s">
        <v>6546</v>
      </c>
      <c r="M1328" s="1" t="s">
        <v>6547</v>
      </c>
      <c r="N1328" s="1" t="s">
        <v>13</v>
      </c>
      <c r="O1328" s="1" t="s">
        <v>6548</v>
      </c>
    </row>
    <row r="1329" spans="1:15" x14ac:dyDescent="0.4">
      <c r="A1329" s="1" t="s">
        <v>6550</v>
      </c>
      <c r="B1329" s="1" t="s">
        <v>6536</v>
      </c>
      <c r="C1329" s="1" t="s">
        <v>6553</v>
      </c>
      <c r="D1329" s="1" t="s">
        <v>2481</v>
      </c>
      <c r="E1329" s="1" t="s">
        <v>2670</v>
      </c>
      <c r="F1329" s="1" t="s">
        <v>17</v>
      </c>
      <c r="G1329" s="4" t="str">
        <f>"07013"</f>
        <v>07013</v>
      </c>
      <c r="H1329" s="1">
        <v>0</v>
      </c>
      <c r="I1329" s="1">
        <v>0</v>
      </c>
      <c r="J1329" s="1">
        <v>0</v>
      </c>
      <c r="K1329" s="1">
        <v>84</v>
      </c>
      <c r="L1329" s="1" t="s">
        <v>127</v>
      </c>
      <c r="M1329" s="1" t="s">
        <v>6551</v>
      </c>
      <c r="N1329" s="1" t="s">
        <v>13</v>
      </c>
      <c r="O1329" s="1" t="s">
        <v>6552</v>
      </c>
    </row>
    <row r="1330" spans="1:15" x14ac:dyDescent="0.4">
      <c r="A1330" s="1" t="s">
        <v>6554</v>
      </c>
      <c r="B1330" s="1" t="s">
        <v>6536</v>
      </c>
      <c r="C1330" s="1" t="s">
        <v>6557</v>
      </c>
      <c r="D1330" s="1" t="s">
        <v>2481</v>
      </c>
      <c r="E1330" s="1" t="s">
        <v>2670</v>
      </c>
      <c r="F1330" s="1" t="s">
        <v>17</v>
      </c>
      <c r="G1330" s="4" t="str">
        <f>"07013"</f>
        <v>07013</v>
      </c>
      <c r="H1330" s="1">
        <v>0</v>
      </c>
      <c r="I1330" s="1">
        <v>0</v>
      </c>
      <c r="J1330" s="1">
        <v>0</v>
      </c>
      <c r="K1330" s="1">
        <v>31</v>
      </c>
      <c r="L1330" s="1" t="s">
        <v>4522</v>
      </c>
      <c r="M1330" s="1" t="s">
        <v>6555</v>
      </c>
      <c r="N1330" s="1" t="s">
        <v>1183</v>
      </c>
      <c r="O1330" s="1" t="s">
        <v>6556</v>
      </c>
    </row>
    <row r="1331" spans="1:15" x14ac:dyDescent="0.4">
      <c r="A1331" s="1" t="s">
        <v>6558</v>
      </c>
      <c r="B1331" s="1" t="s">
        <v>6536</v>
      </c>
      <c r="C1331" s="1" t="s">
        <v>6562</v>
      </c>
      <c r="D1331" s="1" t="s">
        <v>2481</v>
      </c>
      <c r="E1331" s="1" t="s">
        <v>2670</v>
      </c>
      <c r="F1331" s="1" t="s">
        <v>17</v>
      </c>
      <c r="G1331" s="4" t="str">
        <f>"07013"</f>
        <v>07013</v>
      </c>
      <c r="H1331" s="1">
        <v>0</v>
      </c>
      <c r="I1331" s="1">
        <v>0</v>
      </c>
      <c r="J1331" s="1">
        <v>0</v>
      </c>
      <c r="K1331" s="1">
        <v>80</v>
      </c>
      <c r="L1331" s="1" t="s">
        <v>6559</v>
      </c>
      <c r="M1331" s="1" t="s">
        <v>6560</v>
      </c>
      <c r="N1331" s="1" t="s">
        <v>13</v>
      </c>
      <c r="O1331" s="1" t="s">
        <v>6561</v>
      </c>
    </row>
    <row r="1332" spans="1:15" x14ac:dyDescent="0.4">
      <c r="A1332" s="1" t="s">
        <v>402</v>
      </c>
      <c r="B1332" s="1" t="s">
        <v>396</v>
      </c>
      <c r="C1332" s="1" t="s">
        <v>406</v>
      </c>
      <c r="D1332" s="1" t="s">
        <v>401</v>
      </c>
      <c r="E1332" s="1" t="s">
        <v>8018</v>
      </c>
      <c r="F1332" s="1" t="s">
        <v>17</v>
      </c>
      <c r="G1332" s="4" t="str">
        <f>"07010"</f>
        <v>07010</v>
      </c>
      <c r="H1332" s="1">
        <v>0</v>
      </c>
      <c r="I1332" s="1">
        <v>0</v>
      </c>
      <c r="J1332" s="1">
        <v>0</v>
      </c>
      <c r="K1332" s="1">
        <v>72</v>
      </c>
      <c r="L1332" s="1" t="s">
        <v>403</v>
      </c>
      <c r="M1332" s="1" t="s">
        <v>404</v>
      </c>
      <c r="N1332" s="1" t="s">
        <v>13</v>
      </c>
      <c r="O1332" s="1" t="s">
        <v>405</v>
      </c>
    </row>
    <row r="1333" spans="1:15" x14ac:dyDescent="0.4">
      <c r="A1333" s="1" t="s">
        <v>402</v>
      </c>
      <c r="B1333" s="1" t="s">
        <v>6536</v>
      </c>
      <c r="C1333" s="1" t="s">
        <v>6565</v>
      </c>
      <c r="D1333" s="1" t="s">
        <v>2481</v>
      </c>
      <c r="E1333" s="1" t="s">
        <v>8018</v>
      </c>
      <c r="F1333" s="1" t="s">
        <v>17</v>
      </c>
      <c r="G1333" s="4" t="str">
        <f>"07011"</f>
        <v>07011</v>
      </c>
      <c r="H1333" s="1">
        <v>0</v>
      </c>
      <c r="I1333" s="1">
        <v>0</v>
      </c>
      <c r="J1333" s="1">
        <v>0</v>
      </c>
      <c r="K1333" s="1">
        <v>72</v>
      </c>
      <c r="L1333" s="1" t="s">
        <v>30</v>
      </c>
      <c r="M1333" s="1" t="s">
        <v>6563</v>
      </c>
      <c r="N1333" s="1" t="s">
        <v>13</v>
      </c>
      <c r="O1333" s="1" t="s">
        <v>6564</v>
      </c>
    </row>
    <row r="1334" spans="1:15" x14ac:dyDescent="0.4">
      <c r="A1334" s="1" t="s">
        <v>408</v>
      </c>
      <c r="B1334" s="1" t="s">
        <v>396</v>
      </c>
      <c r="C1334" s="1" t="s">
        <v>411</v>
      </c>
      <c r="D1334" s="1" t="s">
        <v>401</v>
      </c>
      <c r="E1334" s="1" t="s">
        <v>8018</v>
      </c>
      <c r="F1334" s="1" t="s">
        <v>17</v>
      </c>
      <c r="G1334" s="4" t="str">
        <f>"07010"</f>
        <v>07010</v>
      </c>
      <c r="H1334" s="1">
        <v>0</v>
      </c>
      <c r="I1334" s="1">
        <v>0</v>
      </c>
      <c r="J1334" s="1">
        <v>0</v>
      </c>
      <c r="K1334" s="1">
        <v>81</v>
      </c>
      <c r="L1334" s="1" t="s">
        <v>118</v>
      </c>
      <c r="M1334" s="1" t="s">
        <v>409</v>
      </c>
      <c r="N1334" s="1" t="s">
        <v>13</v>
      </c>
      <c r="O1334" s="1" t="s">
        <v>410</v>
      </c>
    </row>
    <row r="1335" spans="1:15" x14ac:dyDescent="0.4">
      <c r="A1335" s="1" t="s">
        <v>408</v>
      </c>
      <c r="B1335" s="1" t="s">
        <v>6536</v>
      </c>
      <c r="C1335" s="1" t="s">
        <v>6569</v>
      </c>
      <c r="D1335" s="1" t="s">
        <v>2481</v>
      </c>
      <c r="E1335" s="1" t="s">
        <v>8018</v>
      </c>
      <c r="F1335" s="1" t="s">
        <v>17</v>
      </c>
      <c r="G1335" s="4" t="str">
        <f>"07011"</f>
        <v>07011</v>
      </c>
      <c r="H1335" s="1">
        <v>0</v>
      </c>
      <c r="I1335" s="1">
        <v>0</v>
      </c>
      <c r="J1335" s="1">
        <v>0</v>
      </c>
      <c r="K1335" s="1">
        <v>81</v>
      </c>
      <c r="L1335" s="1" t="s">
        <v>6566</v>
      </c>
      <c r="M1335" s="1" t="s">
        <v>6567</v>
      </c>
      <c r="N1335" s="1" t="s">
        <v>13</v>
      </c>
      <c r="O1335" s="1" t="s">
        <v>6568</v>
      </c>
    </row>
    <row r="1336" spans="1:15" x14ac:dyDescent="0.4">
      <c r="A1336" s="1" t="s">
        <v>415</v>
      </c>
      <c r="B1336" s="1" t="s">
        <v>396</v>
      </c>
      <c r="C1336" s="1" t="s">
        <v>418</v>
      </c>
      <c r="D1336" s="1" t="s">
        <v>401</v>
      </c>
      <c r="E1336" s="1" t="s">
        <v>8018</v>
      </c>
      <c r="F1336" s="1" t="s">
        <v>17</v>
      </c>
      <c r="G1336" s="4" t="str">
        <f>"07010"</f>
        <v>07010</v>
      </c>
      <c r="H1336" s="1">
        <v>0</v>
      </c>
      <c r="I1336" s="1">
        <v>0</v>
      </c>
      <c r="J1336" s="1">
        <v>0</v>
      </c>
      <c r="K1336" s="1">
        <v>0</v>
      </c>
      <c r="L1336" s="1" t="s">
        <v>306</v>
      </c>
      <c r="M1336" s="1" t="s">
        <v>416</v>
      </c>
      <c r="N1336" s="1" t="s">
        <v>13</v>
      </c>
      <c r="O1336" s="1" t="s">
        <v>417</v>
      </c>
    </row>
    <row r="1337" spans="1:15" x14ac:dyDescent="0.4">
      <c r="A1337" s="1" t="s">
        <v>6570</v>
      </c>
      <c r="B1337" s="1" t="s">
        <v>6536</v>
      </c>
      <c r="C1337" s="1" t="s">
        <v>6573</v>
      </c>
      <c r="D1337" s="1" t="s">
        <v>2481</v>
      </c>
      <c r="E1337" s="1" t="s">
        <v>2670</v>
      </c>
      <c r="F1337" s="1" t="s">
        <v>17</v>
      </c>
      <c r="G1337" s="4" t="str">
        <f>"07014"</f>
        <v>07014</v>
      </c>
      <c r="H1337" s="1">
        <v>0</v>
      </c>
      <c r="I1337" s="1">
        <v>0</v>
      </c>
      <c r="J1337" s="1">
        <v>0</v>
      </c>
      <c r="K1337" s="1">
        <v>33</v>
      </c>
      <c r="L1337" s="1" t="s">
        <v>2368</v>
      </c>
      <c r="M1337" s="1" t="s">
        <v>6571</v>
      </c>
      <c r="N1337" s="1" t="s">
        <v>13</v>
      </c>
      <c r="O1337" s="1" t="s">
        <v>6572</v>
      </c>
    </row>
    <row r="1338" spans="1:15" x14ac:dyDescent="0.4">
      <c r="A1338" s="1" t="s">
        <v>6574</v>
      </c>
      <c r="B1338" s="1" t="s">
        <v>6536</v>
      </c>
      <c r="C1338" s="1" t="s">
        <v>6577</v>
      </c>
      <c r="D1338" s="1" t="s">
        <v>2481</v>
      </c>
      <c r="E1338" s="1" t="s">
        <v>2670</v>
      </c>
      <c r="F1338" s="1" t="s">
        <v>17</v>
      </c>
      <c r="G1338" s="4" t="str">
        <f>"07012"</f>
        <v>07012</v>
      </c>
      <c r="H1338" s="1">
        <v>0</v>
      </c>
      <c r="I1338" s="1">
        <v>0</v>
      </c>
      <c r="J1338" s="1">
        <v>0</v>
      </c>
      <c r="K1338" s="1">
        <v>44</v>
      </c>
      <c r="L1338" s="1" t="s">
        <v>6575</v>
      </c>
      <c r="M1338" s="1" t="s">
        <v>116</v>
      </c>
      <c r="N1338" s="1" t="s">
        <v>13</v>
      </c>
      <c r="O1338" s="1" t="s">
        <v>6576</v>
      </c>
    </row>
    <row r="1339" spans="1:15" x14ac:dyDescent="0.4">
      <c r="A1339" s="1" t="s">
        <v>6755</v>
      </c>
      <c r="B1339" s="1" t="s">
        <v>6692</v>
      </c>
      <c r="C1339" s="1" t="s">
        <v>6758</v>
      </c>
      <c r="D1339" s="1" t="s">
        <v>2460</v>
      </c>
      <c r="E1339" s="1" t="s">
        <v>2670</v>
      </c>
      <c r="F1339" s="1" t="s">
        <v>17</v>
      </c>
      <c r="G1339" s="4" t="str">
        <f>"07514"</f>
        <v>07514</v>
      </c>
      <c r="H1339" s="1">
        <v>0</v>
      </c>
      <c r="I1339" s="1">
        <v>0</v>
      </c>
      <c r="J1339" s="1">
        <v>0</v>
      </c>
      <c r="K1339" s="1">
        <v>47</v>
      </c>
      <c r="L1339" s="1" t="s">
        <v>2835</v>
      </c>
      <c r="M1339" s="1" t="s">
        <v>6756</v>
      </c>
      <c r="N1339" s="1" t="s">
        <v>13</v>
      </c>
      <c r="O1339" s="1" t="s">
        <v>6757</v>
      </c>
    </row>
    <row r="1340" spans="1:15" x14ac:dyDescent="0.4">
      <c r="A1340" s="1" t="s">
        <v>6759</v>
      </c>
      <c r="B1340" s="1" t="s">
        <v>6692</v>
      </c>
      <c r="C1340" s="1" t="s">
        <v>6763</v>
      </c>
      <c r="D1340" s="1" t="s">
        <v>2460</v>
      </c>
      <c r="E1340" s="1" t="s">
        <v>2670</v>
      </c>
      <c r="F1340" s="1" t="s">
        <v>17</v>
      </c>
      <c r="G1340" s="4" t="str">
        <f>"07524-2429"</f>
        <v>07524-2429</v>
      </c>
      <c r="H1340" s="1">
        <v>0</v>
      </c>
      <c r="I1340" s="1">
        <v>0</v>
      </c>
      <c r="J1340" s="1">
        <v>0</v>
      </c>
      <c r="K1340" s="1">
        <v>42</v>
      </c>
      <c r="L1340" s="1" t="s">
        <v>6760</v>
      </c>
      <c r="M1340" s="1" t="s">
        <v>6761</v>
      </c>
      <c r="N1340" s="1" t="s">
        <v>13</v>
      </c>
      <c r="O1340" s="1" t="s">
        <v>6762</v>
      </c>
    </row>
    <row r="1341" spans="1:15" x14ac:dyDescent="0.4">
      <c r="A1341" s="1" t="s">
        <v>6764</v>
      </c>
      <c r="B1341" s="1" t="s">
        <v>6692</v>
      </c>
      <c r="C1341" s="1" t="s">
        <v>6768</v>
      </c>
      <c r="D1341" s="1" t="s">
        <v>2460</v>
      </c>
      <c r="E1341" s="1" t="s">
        <v>2670</v>
      </c>
      <c r="F1341" s="1" t="s">
        <v>17</v>
      </c>
      <c r="G1341" s="4" t="str">
        <f>"07522"</f>
        <v>07522</v>
      </c>
      <c r="H1341" s="1">
        <v>0</v>
      </c>
      <c r="I1341" s="1">
        <v>0</v>
      </c>
      <c r="J1341" s="1">
        <v>0</v>
      </c>
      <c r="K1341" s="1">
        <v>51</v>
      </c>
      <c r="L1341" s="1" t="s">
        <v>6765</v>
      </c>
      <c r="M1341" s="1" t="s">
        <v>6766</v>
      </c>
      <c r="N1341" s="1" t="s">
        <v>13</v>
      </c>
      <c r="O1341" s="1" t="s">
        <v>6767</v>
      </c>
    </row>
    <row r="1342" spans="1:15" x14ac:dyDescent="0.4">
      <c r="A1342" s="1" t="s">
        <v>6769</v>
      </c>
      <c r="B1342" s="1" t="s">
        <v>6692</v>
      </c>
      <c r="C1342" s="1" t="s">
        <v>6772</v>
      </c>
      <c r="D1342" s="1" t="s">
        <v>2460</v>
      </c>
      <c r="E1342" s="1" t="s">
        <v>2670</v>
      </c>
      <c r="F1342" s="1" t="s">
        <v>17</v>
      </c>
      <c r="G1342" s="4" t="str">
        <f>"07504"</f>
        <v>07504</v>
      </c>
      <c r="H1342" s="1">
        <v>0</v>
      </c>
      <c r="I1342" s="1">
        <v>0</v>
      </c>
      <c r="J1342" s="1">
        <v>0</v>
      </c>
      <c r="K1342" s="1">
        <v>58</v>
      </c>
      <c r="L1342" s="1" t="s">
        <v>43</v>
      </c>
      <c r="M1342" s="1" t="s">
        <v>6770</v>
      </c>
      <c r="N1342" s="1" t="s">
        <v>13</v>
      </c>
      <c r="O1342" s="1" t="s">
        <v>6771</v>
      </c>
    </row>
    <row r="1343" spans="1:15" x14ac:dyDescent="0.4">
      <c r="A1343" s="1" t="s">
        <v>6773</v>
      </c>
      <c r="B1343" s="1" t="s">
        <v>6692</v>
      </c>
      <c r="C1343" s="1" t="s">
        <v>6776</v>
      </c>
      <c r="D1343" s="1" t="s">
        <v>2460</v>
      </c>
      <c r="E1343" s="1" t="s">
        <v>2670</v>
      </c>
      <c r="F1343" s="1" t="s">
        <v>17</v>
      </c>
      <c r="G1343" s="4" t="str">
        <f>"07524"</f>
        <v>07524</v>
      </c>
      <c r="H1343" s="1">
        <v>0</v>
      </c>
      <c r="I1343" s="1">
        <v>0</v>
      </c>
      <c r="J1343" s="1">
        <v>0</v>
      </c>
      <c r="K1343" s="1">
        <v>0</v>
      </c>
      <c r="L1343" s="1" t="s">
        <v>6774</v>
      </c>
      <c r="M1343" s="1" t="s">
        <v>2314</v>
      </c>
      <c r="N1343" s="1" t="s">
        <v>13</v>
      </c>
      <c r="O1343" s="1" t="s">
        <v>6775</v>
      </c>
    </row>
    <row r="1344" spans="1:15" x14ac:dyDescent="0.4">
      <c r="A1344" s="1" t="s">
        <v>6777</v>
      </c>
      <c r="B1344" s="1" t="s">
        <v>6692</v>
      </c>
      <c r="C1344" s="1" t="s">
        <v>6781</v>
      </c>
      <c r="D1344" s="1" t="s">
        <v>2460</v>
      </c>
      <c r="E1344" s="1" t="s">
        <v>2670</v>
      </c>
      <c r="F1344" s="1" t="s">
        <v>17</v>
      </c>
      <c r="G1344" s="4" t="str">
        <f>"07502"</f>
        <v>07502</v>
      </c>
      <c r="H1344" s="1">
        <v>0</v>
      </c>
      <c r="I1344" s="1">
        <v>0</v>
      </c>
      <c r="J1344" s="1">
        <v>0</v>
      </c>
      <c r="K1344" s="1">
        <v>55</v>
      </c>
      <c r="L1344" s="1" t="s">
        <v>6778</v>
      </c>
      <c r="M1344" s="1" t="s">
        <v>6779</v>
      </c>
      <c r="N1344" s="1" t="s">
        <v>13</v>
      </c>
      <c r="O1344" s="1" t="s">
        <v>6780</v>
      </c>
    </row>
    <row r="1345" spans="1:15" x14ac:dyDescent="0.4">
      <c r="A1345" s="1" t="s">
        <v>6782</v>
      </c>
      <c r="B1345" s="1" t="s">
        <v>6692</v>
      </c>
      <c r="C1345" s="1" t="s">
        <v>6785</v>
      </c>
      <c r="D1345" s="1" t="s">
        <v>2460</v>
      </c>
      <c r="E1345" s="1" t="s">
        <v>2670</v>
      </c>
      <c r="F1345" s="1" t="s">
        <v>17</v>
      </c>
      <c r="G1345" s="4" t="str">
        <f>"07501"</f>
        <v>07501</v>
      </c>
      <c r="H1345" s="1">
        <v>0</v>
      </c>
      <c r="I1345" s="1">
        <v>0</v>
      </c>
      <c r="J1345" s="1">
        <v>0</v>
      </c>
      <c r="K1345" s="1">
        <v>36</v>
      </c>
      <c r="L1345" s="1" t="s">
        <v>1713</v>
      </c>
      <c r="M1345" s="1" t="s">
        <v>6783</v>
      </c>
      <c r="N1345" s="1" t="s">
        <v>13</v>
      </c>
      <c r="O1345" s="1" t="s">
        <v>6784</v>
      </c>
    </row>
    <row r="1346" spans="1:15" x14ac:dyDescent="0.4">
      <c r="A1346" s="1" t="s">
        <v>6786</v>
      </c>
      <c r="B1346" s="1" t="s">
        <v>6692</v>
      </c>
      <c r="C1346" s="1" t="s">
        <v>6788</v>
      </c>
      <c r="D1346" s="1" t="s">
        <v>2460</v>
      </c>
      <c r="E1346" s="1" t="s">
        <v>2670</v>
      </c>
      <c r="F1346" s="1" t="s">
        <v>17</v>
      </c>
      <c r="G1346" s="4" t="str">
        <f>"07504-1739"</f>
        <v>07504-1739</v>
      </c>
      <c r="H1346" s="1">
        <v>0</v>
      </c>
      <c r="I1346" s="1">
        <v>0</v>
      </c>
      <c r="J1346" s="1">
        <v>0</v>
      </c>
      <c r="K1346" s="1">
        <v>19</v>
      </c>
      <c r="L1346" s="1" t="s">
        <v>158</v>
      </c>
      <c r="M1346" s="1" t="s">
        <v>2036</v>
      </c>
      <c r="N1346" s="1" t="s">
        <v>13</v>
      </c>
      <c r="O1346" s="1" t="s">
        <v>6787</v>
      </c>
    </row>
    <row r="1347" spans="1:15" x14ac:dyDescent="0.4">
      <c r="A1347" s="1" t="s">
        <v>6790</v>
      </c>
      <c r="B1347" s="1" t="s">
        <v>6692</v>
      </c>
      <c r="C1347" s="1" t="s">
        <v>6792</v>
      </c>
      <c r="D1347" s="1" t="s">
        <v>2460</v>
      </c>
      <c r="E1347" s="1" t="s">
        <v>2670</v>
      </c>
      <c r="F1347" s="1" t="s">
        <v>17</v>
      </c>
      <c r="G1347" s="4" t="str">
        <f>"07501-2818"</f>
        <v>07501-2818</v>
      </c>
      <c r="H1347" s="1">
        <v>0</v>
      </c>
      <c r="I1347" s="1">
        <v>0</v>
      </c>
      <c r="J1347" s="1">
        <v>0</v>
      </c>
      <c r="K1347" s="1">
        <v>12</v>
      </c>
      <c r="L1347" s="1" t="s">
        <v>6651</v>
      </c>
      <c r="M1347" s="1" t="s">
        <v>6706</v>
      </c>
      <c r="N1347" s="1" t="s">
        <v>13</v>
      </c>
      <c r="O1347" s="1" t="s">
        <v>6791</v>
      </c>
    </row>
    <row r="1348" spans="1:15" x14ac:dyDescent="0.4">
      <c r="A1348" s="1" t="s">
        <v>6794</v>
      </c>
      <c r="B1348" s="1" t="s">
        <v>6692</v>
      </c>
      <c r="C1348" s="1" t="s">
        <v>6797</v>
      </c>
      <c r="D1348" s="1" t="s">
        <v>2460</v>
      </c>
      <c r="E1348" s="1" t="s">
        <v>2670</v>
      </c>
      <c r="F1348" s="1" t="s">
        <v>17</v>
      </c>
      <c r="G1348" s="4" t="str">
        <f>"07502-2135"</f>
        <v>07502-2135</v>
      </c>
      <c r="H1348" s="1">
        <v>0</v>
      </c>
      <c r="I1348" s="1">
        <v>0</v>
      </c>
      <c r="J1348" s="1">
        <v>0</v>
      </c>
      <c r="K1348" s="1">
        <v>145</v>
      </c>
      <c r="L1348" s="1" t="s">
        <v>1304</v>
      </c>
      <c r="M1348" s="1" t="s">
        <v>6795</v>
      </c>
      <c r="N1348" s="1" t="s">
        <v>13</v>
      </c>
      <c r="O1348" s="1" t="s">
        <v>6796</v>
      </c>
    </row>
    <row r="1349" spans="1:15" x14ac:dyDescent="0.4">
      <c r="A1349" s="1" t="s">
        <v>6798</v>
      </c>
      <c r="B1349" s="1" t="s">
        <v>6692</v>
      </c>
      <c r="C1349" s="1" t="s">
        <v>6800</v>
      </c>
      <c r="D1349" s="1" t="s">
        <v>2460</v>
      </c>
      <c r="E1349" s="1" t="s">
        <v>2670</v>
      </c>
      <c r="F1349" s="1" t="s">
        <v>17</v>
      </c>
      <c r="G1349" s="4" t="str">
        <f>"07501"</f>
        <v>07501</v>
      </c>
      <c r="H1349" s="1">
        <v>0</v>
      </c>
      <c r="I1349" s="1">
        <v>0</v>
      </c>
      <c r="J1349" s="1">
        <v>0</v>
      </c>
      <c r="K1349" s="1">
        <v>28</v>
      </c>
      <c r="L1349" s="1" t="s">
        <v>2769</v>
      </c>
      <c r="M1349" s="1" t="s">
        <v>2408</v>
      </c>
      <c r="N1349" s="1" t="s">
        <v>13</v>
      </c>
      <c r="O1349" s="1" t="s">
        <v>6799</v>
      </c>
    </row>
    <row r="1350" spans="1:15" x14ac:dyDescent="0.4">
      <c r="A1350" s="1" t="s">
        <v>6801</v>
      </c>
      <c r="B1350" s="1" t="s">
        <v>6692</v>
      </c>
      <c r="C1350" s="1" t="s">
        <v>6803</v>
      </c>
      <c r="D1350" s="1" t="s">
        <v>2460</v>
      </c>
      <c r="E1350" s="1" t="s">
        <v>2670</v>
      </c>
      <c r="F1350" s="1" t="s">
        <v>17</v>
      </c>
      <c r="G1350" s="4" t="str">
        <f>"07503-3107"</f>
        <v>07503-3107</v>
      </c>
      <c r="H1350" s="1">
        <v>0</v>
      </c>
      <c r="I1350" s="1">
        <v>0</v>
      </c>
      <c r="J1350" s="1">
        <v>0</v>
      </c>
      <c r="K1350" s="1">
        <v>31</v>
      </c>
      <c r="L1350" s="1" t="s">
        <v>1086</v>
      </c>
      <c r="M1350" s="1" t="s">
        <v>876</v>
      </c>
      <c r="N1350" s="1" t="s">
        <v>13</v>
      </c>
      <c r="O1350" s="1" t="s">
        <v>6802</v>
      </c>
    </row>
    <row r="1351" spans="1:15" x14ac:dyDescent="0.4">
      <c r="A1351" s="1" t="s">
        <v>620</v>
      </c>
      <c r="B1351" s="1" t="s">
        <v>609</v>
      </c>
      <c r="C1351" s="1" t="s">
        <v>624</v>
      </c>
      <c r="D1351" s="1" t="s">
        <v>615</v>
      </c>
      <c r="E1351" s="1" t="s">
        <v>8018</v>
      </c>
      <c r="F1351" s="1" t="s">
        <v>17</v>
      </c>
      <c r="G1351" s="4" t="str">
        <f>"07024"</f>
        <v>07024</v>
      </c>
      <c r="H1351" s="1">
        <v>0</v>
      </c>
      <c r="I1351" s="1">
        <v>0</v>
      </c>
      <c r="J1351" s="1">
        <v>0</v>
      </c>
      <c r="K1351" s="1">
        <v>96</v>
      </c>
      <c r="L1351" s="1" t="s">
        <v>621</v>
      </c>
      <c r="M1351" s="1" t="s">
        <v>622</v>
      </c>
      <c r="N1351" s="1" t="s">
        <v>13</v>
      </c>
      <c r="O1351" s="1" t="s">
        <v>623</v>
      </c>
    </row>
    <row r="1352" spans="1:15" x14ac:dyDescent="0.4">
      <c r="A1352" s="1" t="s">
        <v>625</v>
      </c>
      <c r="B1352" s="1" t="s">
        <v>609</v>
      </c>
      <c r="C1352" s="1" t="s">
        <v>629</v>
      </c>
      <c r="D1352" s="1" t="s">
        <v>615</v>
      </c>
      <c r="E1352" s="1" t="s">
        <v>8018</v>
      </c>
      <c r="F1352" s="1" t="s">
        <v>17</v>
      </c>
      <c r="G1352" s="4" t="str">
        <f>"07024"</f>
        <v>07024</v>
      </c>
      <c r="H1352" s="1">
        <v>0</v>
      </c>
      <c r="I1352" s="1">
        <v>0</v>
      </c>
      <c r="J1352" s="1">
        <v>0</v>
      </c>
      <c r="K1352" s="1">
        <v>55</v>
      </c>
      <c r="L1352" s="1" t="s">
        <v>626</v>
      </c>
      <c r="M1352" s="1" t="s">
        <v>627</v>
      </c>
      <c r="N1352" s="1" t="s">
        <v>13</v>
      </c>
      <c r="O1352" s="1" t="s">
        <v>628</v>
      </c>
    </row>
    <row r="1353" spans="1:15" x14ac:dyDescent="0.4">
      <c r="A1353" s="1" t="s">
        <v>631</v>
      </c>
      <c r="B1353" s="1" t="s">
        <v>609</v>
      </c>
      <c r="C1353" s="1" t="s">
        <v>635</v>
      </c>
      <c r="D1353" s="1" t="s">
        <v>615</v>
      </c>
      <c r="E1353" s="1" t="s">
        <v>8018</v>
      </c>
      <c r="F1353" s="1" t="s">
        <v>17</v>
      </c>
      <c r="G1353" s="4" t="str">
        <f>"07024-1761"</f>
        <v>07024-1761</v>
      </c>
      <c r="H1353" s="1">
        <v>0</v>
      </c>
      <c r="I1353" s="1">
        <v>0</v>
      </c>
      <c r="J1353" s="1">
        <v>0</v>
      </c>
      <c r="K1353" s="1">
        <v>64</v>
      </c>
      <c r="L1353" s="1" t="s">
        <v>632</v>
      </c>
      <c r="M1353" s="1" t="s">
        <v>633</v>
      </c>
      <c r="N1353" s="1" t="s">
        <v>13</v>
      </c>
      <c r="O1353" s="1" t="s">
        <v>634</v>
      </c>
    </row>
    <row r="1354" spans="1:15" x14ac:dyDescent="0.4">
      <c r="A1354" s="1" t="s">
        <v>7741</v>
      </c>
      <c r="B1354" s="1" t="s">
        <v>7724</v>
      </c>
      <c r="C1354" s="1" t="s">
        <v>7743</v>
      </c>
      <c r="D1354" s="1" t="s">
        <v>7728</v>
      </c>
      <c r="E1354" s="1" t="s">
        <v>7833</v>
      </c>
      <c r="F1354" s="1" t="s">
        <v>17</v>
      </c>
      <c r="G1354" s="4" t="str">
        <f>"07076"</f>
        <v>07076</v>
      </c>
      <c r="H1354" s="1">
        <v>0</v>
      </c>
      <c r="I1354" s="1">
        <v>0</v>
      </c>
      <c r="J1354" s="1">
        <v>0</v>
      </c>
      <c r="K1354" s="1">
        <v>67</v>
      </c>
      <c r="L1354" s="1" t="s">
        <v>747</v>
      </c>
      <c r="M1354" s="1" t="s">
        <v>3197</v>
      </c>
      <c r="N1354" s="1" t="s">
        <v>13</v>
      </c>
      <c r="O1354" s="1" t="s">
        <v>7742</v>
      </c>
    </row>
    <row r="1355" spans="1:15" x14ac:dyDescent="0.4">
      <c r="A1355" s="1" t="s">
        <v>6899</v>
      </c>
      <c r="B1355" s="1" t="s">
        <v>6857</v>
      </c>
      <c r="C1355" s="1" t="s">
        <v>6903</v>
      </c>
      <c r="D1355" s="1" t="s">
        <v>6682</v>
      </c>
      <c r="E1355" s="1" t="s">
        <v>2670</v>
      </c>
      <c r="F1355" s="1" t="s">
        <v>17</v>
      </c>
      <c r="G1355" s="4" t="str">
        <f>"07470-4024"</f>
        <v>07470-4024</v>
      </c>
      <c r="H1355" s="1">
        <v>0</v>
      </c>
      <c r="I1355" s="1">
        <v>0</v>
      </c>
      <c r="J1355" s="1">
        <v>0</v>
      </c>
      <c r="K1355" s="1">
        <v>0</v>
      </c>
      <c r="L1355" s="1" t="s">
        <v>6900</v>
      </c>
      <c r="M1355" s="1" t="s">
        <v>6901</v>
      </c>
      <c r="N1355" s="1" t="s">
        <v>13</v>
      </c>
      <c r="O1355" s="1" t="s">
        <v>6902</v>
      </c>
    </row>
    <row r="1356" spans="1:15" x14ac:dyDescent="0.4">
      <c r="A1356" s="1" t="s">
        <v>3331</v>
      </c>
      <c r="B1356" s="1" t="s">
        <v>3249</v>
      </c>
      <c r="C1356" s="1" t="s">
        <v>3335</v>
      </c>
      <c r="D1356" s="1" t="s">
        <v>2526</v>
      </c>
      <c r="E1356" s="1" t="s">
        <v>8024</v>
      </c>
      <c r="F1356" s="1" t="s">
        <v>17</v>
      </c>
      <c r="G1356" s="4" t="str">
        <f>"07102"</f>
        <v>07102</v>
      </c>
      <c r="H1356" s="1">
        <v>0</v>
      </c>
      <c r="I1356" s="1">
        <v>0</v>
      </c>
      <c r="J1356" s="1">
        <v>0</v>
      </c>
      <c r="K1356" s="1">
        <v>0</v>
      </c>
      <c r="L1356" s="1" t="s">
        <v>3332</v>
      </c>
      <c r="M1356" s="1" t="s">
        <v>3333</v>
      </c>
      <c r="N1356" s="1" t="s">
        <v>13</v>
      </c>
      <c r="O1356" s="1" t="s">
        <v>3334</v>
      </c>
    </row>
    <row r="1357" spans="1:15" x14ac:dyDescent="0.4">
      <c r="A1357" s="1" t="s">
        <v>7744</v>
      </c>
      <c r="B1357" s="1" t="s">
        <v>7724</v>
      </c>
      <c r="C1357" s="1" t="s">
        <v>7747</v>
      </c>
      <c r="D1357" s="1" t="s">
        <v>7728</v>
      </c>
      <c r="E1357" s="1" t="s">
        <v>7833</v>
      </c>
      <c r="F1357" s="1" t="s">
        <v>17</v>
      </c>
      <c r="G1357" s="4" t="str">
        <f>"07076"</f>
        <v>07076</v>
      </c>
      <c r="H1357" s="1">
        <v>0</v>
      </c>
      <c r="I1357" s="1">
        <v>0</v>
      </c>
      <c r="J1357" s="1">
        <v>0</v>
      </c>
      <c r="K1357" s="1">
        <v>0</v>
      </c>
      <c r="L1357" s="1" t="s">
        <v>55</v>
      </c>
      <c r="M1357" s="1" t="s">
        <v>7745</v>
      </c>
      <c r="N1357" s="1" t="s">
        <v>13</v>
      </c>
      <c r="O1357" s="1" t="s">
        <v>7746</v>
      </c>
    </row>
    <row r="1358" spans="1:15" x14ac:dyDescent="0.4">
      <c r="A1358" s="1" t="s">
        <v>5625</v>
      </c>
      <c r="B1358" s="1" t="s">
        <v>5624</v>
      </c>
      <c r="C1358" s="1" t="s">
        <v>5629</v>
      </c>
      <c r="D1358" s="1" t="s">
        <v>5630</v>
      </c>
      <c r="E1358" s="1" t="s">
        <v>8027</v>
      </c>
      <c r="F1358" s="1" t="s">
        <v>17</v>
      </c>
      <c r="G1358" s="4" t="str">
        <f>"08750-2599"</f>
        <v>08750-2599</v>
      </c>
      <c r="H1358" s="1">
        <v>0</v>
      </c>
      <c r="I1358" s="1">
        <v>0</v>
      </c>
      <c r="J1358" s="1">
        <v>0</v>
      </c>
      <c r="K1358" s="1">
        <v>13</v>
      </c>
      <c r="L1358" s="1" t="s">
        <v>5626</v>
      </c>
      <c r="M1358" s="1" t="s">
        <v>5627</v>
      </c>
      <c r="N1358" s="1" t="s">
        <v>13</v>
      </c>
      <c r="O1358" s="1" t="s">
        <v>5628</v>
      </c>
    </row>
    <row r="1359" spans="1:15" x14ac:dyDescent="0.4">
      <c r="A1359" s="1" t="s">
        <v>3992</v>
      </c>
      <c r="B1359" s="1" t="s">
        <v>3982</v>
      </c>
      <c r="C1359" s="1" t="s">
        <v>3995</v>
      </c>
      <c r="D1359" s="1" t="s">
        <v>3987</v>
      </c>
      <c r="E1359" s="1" t="s">
        <v>3646</v>
      </c>
      <c r="F1359" s="1" t="s">
        <v>17</v>
      </c>
      <c r="G1359" s="4" t="str">
        <f>"07094"</f>
        <v>07094</v>
      </c>
      <c r="H1359" s="1">
        <v>0</v>
      </c>
      <c r="I1359" s="1">
        <v>0</v>
      </c>
      <c r="J1359" s="1">
        <v>0</v>
      </c>
      <c r="K1359" s="1">
        <v>0</v>
      </c>
      <c r="L1359" s="1" t="s">
        <v>1086</v>
      </c>
      <c r="M1359" s="1" t="s">
        <v>3993</v>
      </c>
      <c r="N1359" s="1" t="s">
        <v>13</v>
      </c>
      <c r="O1359" s="1" t="s">
        <v>3994</v>
      </c>
    </row>
    <row r="1360" spans="1:15" x14ac:dyDescent="0.4">
      <c r="A1360" s="1" t="s">
        <v>3996</v>
      </c>
      <c r="B1360" s="1" t="s">
        <v>3982</v>
      </c>
      <c r="C1360" s="1" t="s">
        <v>3995</v>
      </c>
      <c r="D1360" s="1" t="s">
        <v>3987</v>
      </c>
      <c r="E1360" s="1" t="s">
        <v>3646</v>
      </c>
      <c r="F1360" s="1" t="s">
        <v>17</v>
      </c>
      <c r="G1360" s="4" t="str">
        <f>"07094"</f>
        <v>07094</v>
      </c>
      <c r="H1360" s="1">
        <v>0</v>
      </c>
      <c r="I1360" s="1">
        <v>0</v>
      </c>
      <c r="J1360" s="1">
        <v>0</v>
      </c>
      <c r="K1360" s="1">
        <v>0</v>
      </c>
      <c r="L1360" s="1" t="s">
        <v>443</v>
      </c>
      <c r="M1360" s="1" t="s">
        <v>3997</v>
      </c>
      <c r="N1360" s="1" t="s">
        <v>13</v>
      </c>
      <c r="O1360" s="1" t="s">
        <v>3998</v>
      </c>
    </row>
    <row r="1361" spans="1:15" x14ac:dyDescent="0.4">
      <c r="A1361" s="1" t="s">
        <v>477</v>
      </c>
      <c r="B1361" s="1" t="s">
        <v>460</v>
      </c>
      <c r="C1361" s="1" t="s">
        <v>480</v>
      </c>
      <c r="D1361" s="1" t="s">
        <v>465</v>
      </c>
      <c r="E1361" s="1" t="s">
        <v>8018</v>
      </c>
      <c r="F1361" s="1" t="s">
        <v>17</v>
      </c>
      <c r="G1361" s="4" t="str">
        <f>"07628-1417"</f>
        <v>07628-1417</v>
      </c>
      <c r="H1361" s="1">
        <v>1</v>
      </c>
      <c r="I1361" s="1">
        <v>0.2</v>
      </c>
      <c r="J1361" s="1">
        <v>0</v>
      </c>
      <c r="K1361" s="1">
        <v>39</v>
      </c>
      <c r="L1361" s="1" t="s">
        <v>158</v>
      </c>
      <c r="M1361" s="1" t="s">
        <v>478</v>
      </c>
      <c r="N1361" s="1" t="s">
        <v>13</v>
      </c>
      <c r="O1361" s="1" t="s">
        <v>479</v>
      </c>
    </row>
    <row r="1362" spans="1:15" x14ac:dyDescent="0.4">
      <c r="A1362" s="1" t="s">
        <v>6804</v>
      </c>
      <c r="B1362" s="1" t="s">
        <v>6692</v>
      </c>
      <c r="C1362" s="1" t="s">
        <v>6807</v>
      </c>
      <c r="D1362" s="1" t="s">
        <v>2460</v>
      </c>
      <c r="E1362" s="1" t="s">
        <v>2670</v>
      </c>
      <c r="F1362" s="1" t="s">
        <v>17</v>
      </c>
      <c r="G1362" s="4" t="str">
        <f>"07501"</f>
        <v>07501</v>
      </c>
      <c r="H1362" s="1">
        <v>0</v>
      </c>
      <c r="I1362" s="1">
        <v>0</v>
      </c>
      <c r="J1362" s="1">
        <v>0</v>
      </c>
      <c r="K1362" s="1">
        <v>46</v>
      </c>
      <c r="L1362" s="1" t="s">
        <v>6805</v>
      </c>
      <c r="M1362" s="1" t="s">
        <v>171</v>
      </c>
      <c r="N1362" s="1" t="s">
        <v>13</v>
      </c>
      <c r="O1362" s="1" t="s">
        <v>6806</v>
      </c>
    </row>
    <row r="1363" spans="1:15" x14ac:dyDescent="0.4">
      <c r="A1363" s="1" t="s">
        <v>1526</v>
      </c>
      <c r="B1363" s="1" t="s">
        <v>1514</v>
      </c>
      <c r="C1363" s="1" t="s">
        <v>1530</v>
      </c>
      <c r="D1363" s="1" t="s">
        <v>1531</v>
      </c>
      <c r="E1363" s="1" t="s">
        <v>8019</v>
      </c>
      <c r="F1363" s="1" t="s">
        <v>17</v>
      </c>
      <c r="G1363" s="4" t="str">
        <f>"08088"</f>
        <v>08088</v>
      </c>
      <c r="H1363" s="1">
        <v>0</v>
      </c>
      <c r="I1363" s="1">
        <v>0</v>
      </c>
      <c r="J1363" s="1">
        <v>0</v>
      </c>
      <c r="K1363" s="1">
        <v>0</v>
      </c>
      <c r="L1363" s="1" t="s">
        <v>1527</v>
      </c>
      <c r="M1363" s="1" t="s">
        <v>1528</v>
      </c>
      <c r="N1363" s="1" t="s">
        <v>13</v>
      </c>
      <c r="O1363" s="1" t="s">
        <v>1529</v>
      </c>
    </row>
    <row r="1364" spans="1:15" x14ac:dyDescent="0.4">
      <c r="A1364" s="1" t="s">
        <v>3451</v>
      </c>
      <c r="B1364" s="1" t="s">
        <v>3430</v>
      </c>
      <c r="C1364" s="1" t="s">
        <v>3454</v>
      </c>
      <c r="D1364" s="1" t="s">
        <v>3435</v>
      </c>
      <c r="E1364" s="1" t="s">
        <v>8024</v>
      </c>
      <c r="F1364" s="1" t="s">
        <v>17</v>
      </c>
      <c r="G1364" s="4" t="str">
        <f>"07040-3010"</f>
        <v>07040-3010</v>
      </c>
      <c r="H1364" s="1">
        <v>0</v>
      </c>
      <c r="I1364" s="1">
        <v>0</v>
      </c>
      <c r="J1364" s="1">
        <v>0</v>
      </c>
      <c r="K1364" s="1">
        <v>101</v>
      </c>
      <c r="L1364" s="1" t="s">
        <v>1519</v>
      </c>
      <c r="M1364" s="1" t="s">
        <v>3452</v>
      </c>
      <c r="N1364" s="1" t="s">
        <v>13</v>
      </c>
      <c r="O1364" s="1" t="s">
        <v>3453</v>
      </c>
    </row>
    <row r="1365" spans="1:15" x14ac:dyDescent="0.4">
      <c r="A1365" s="1" t="s">
        <v>2097</v>
      </c>
      <c r="B1365" s="1" t="s">
        <v>2084</v>
      </c>
      <c r="C1365" s="1" t="s">
        <v>2098</v>
      </c>
      <c r="D1365" s="1" t="s">
        <v>2088</v>
      </c>
      <c r="E1365" s="1" t="s">
        <v>1909</v>
      </c>
      <c r="F1365" s="1" t="s">
        <v>17</v>
      </c>
      <c r="G1365" s="4" t="str">
        <f>"08035"</f>
        <v>08035</v>
      </c>
      <c r="H1365" s="1">
        <v>0</v>
      </c>
      <c r="I1365" s="1">
        <v>0</v>
      </c>
      <c r="J1365" s="1">
        <v>0</v>
      </c>
      <c r="K1365" s="1">
        <v>0</v>
      </c>
      <c r="L1365" s="1" t="s">
        <v>380</v>
      </c>
      <c r="M1365" s="1" t="s">
        <v>1557</v>
      </c>
      <c r="N1365" s="1" t="s">
        <v>13</v>
      </c>
      <c r="O1365" s="1" t="s">
        <v>2086</v>
      </c>
    </row>
    <row r="1366" spans="1:15" x14ac:dyDescent="0.4">
      <c r="A1366" s="1" t="s">
        <v>2915</v>
      </c>
      <c r="B1366" s="1" t="s">
        <v>2878</v>
      </c>
      <c r="C1366" s="1" t="s">
        <v>2918</v>
      </c>
      <c r="D1366" s="1" t="s">
        <v>2507</v>
      </c>
      <c r="E1366" s="1" t="s">
        <v>8023</v>
      </c>
      <c r="F1366" s="1" t="s">
        <v>17</v>
      </c>
      <c r="G1366" s="4" t="str">
        <f>"08361-7101"</f>
        <v>08361-7101</v>
      </c>
      <c r="H1366" s="1">
        <v>0</v>
      </c>
      <c r="I1366" s="1">
        <v>0</v>
      </c>
      <c r="J1366" s="1">
        <v>0</v>
      </c>
      <c r="K1366" s="1">
        <v>0</v>
      </c>
      <c r="L1366" s="1" t="s">
        <v>43</v>
      </c>
      <c r="M1366" s="1" t="s">
        <v>2916</v>
      </c>
      <c r="N1366" s="1" t="s">
        <v>13</v>
      </c>
      <c r="O1366" s="1" t="s">
        <v>2917</v>
      </c>
    </row>
    <row r="1367" spans="1:15" x14ac:dyDescent="0.4">
      <c r="A1367" s="1" t="s">
        <v>3597</v>
      </c>
      <c r="B1367" s="1" t="s">
        <v>3570</v>
      </c>
      <c r="C1367" s="1" t="s">
        <v>3600</v>
      </c>
      <c r="D1367" s="1" t="s">
        <v>3601</v>
      </c>
      <c r="E1367" s="1" t="s">
        <v>8020</v>
      </c>
      <c r="F1367" s="1" t="s">
        <v>17</v>
      </c>
      <c r="G1367" s="4" t="str">
        <f>"08093-9718"</f>
        <v>08093-9718</v>
      </c>
      <c r="H1367" s="1">
        <v>0</v>
      </c>
      <c r="I1367" s="1">
        <v>0</v>
      </c>
      <c r="J1367" s="1">
        <v>0</v>
      </c>
      <c r="K1367" s="1">
        <v>0</v>
      </c>
      <c r="L1367" s="1" t="s">
        <v>434</v>
      </c>
      <c r="M1367" s="1" t="s">
        <v>3598</v>
      </c>
      <c r="N1367" s="1" t="s">
        <v>13</v>
      </c>
      <c r="O1367" s="1" t="s">
        <v>3599</v>
      </c>
    </row>
    <row r="1368" spans="1:15" x14ac:dyDescent="0.4">
      <c r="A1368" s="1" t="s">
        <v>1532</v>
      </c>
      <c r="B1368" s="1" t="s">
        <v>1514</v>
      </c>
      <c r="C1368" s="1" t="s">
        <v>1535</v>
      </c>
      <c r="D1368" s="1" t="s">
        <v>1525</v>
      </c>
      <c r="E1368" s="1" t="s">
        <v>8019</v>
      </c>
      <c r="F1368" s="1" t="s">
        <v>17</v>
      </c>
      <c r="G1368" s="4" t="str">
        <f>"08055-9701"</f>
        <v>08055-9701</v>
      </c>
      <c r="H1368" s="1">
        <v>0</v>
      </c>
      <c r="I1368" s="1">
        <v>0</v>
      </c>
      <c r="J1368" s="1">
        <v>0</v>
      </c>
      <c r="K1368" s="1">
        <v>0</v>
      </c>
      <c r="L1368" s="1" t="s">
        <v>1408</v>
      </c>
      <c r="M1368" s="1" t="s">
        <v>1533</v>
      </c>
      <c r="N1368" s="1" t="s">
        <v>13</v>
      </c>
      <c r="O1368" s="1" t="s">
        <v>1534</v>
      </c>
    </row>
    <row r="1369" spans="1:15" x14ac:dyDescent="0.4">
      <c r="A1369" s="1" t="s">
        <v>6112</v>
      </c>
      <c r="B1369" s="1" t="s">
        <v>6095</v>
      </c>
      <c r="C1369" s="1" t="s">
        <v>6114</v>
      </c>
      <c r="D1369" s="1" t="s">
        <v>6096</v>
      </c>
      <c r="E1369" s="1" t="s">
        <v>1503</v>
      </c>
      <c r="F1369" s="1" t="s">
        <v>17</v>
      </c>
      <c r="G1369" s="4" t="str">
        <f>"07869"</f>
        <v>07869</v>
      </c>
      <c r="H1369" s="1">
        <v>0</v>
      </c>
      <c r="I1369" s="1">
        <v>0</v>
      </c>
      <c r="J1369" s="1">
        <v>0</v>
      </c>
      <c r="K1369" s="1">
        <v>70</v>
      </c>
      <c r="L1369" s="1" t="s">
        <v>158</v>
      </c>
      <c r="M1369" s="1" t="s">
        <v>153</v>
      </c>
      <c r="N1369" s="1" t="s">
        <v>13</v>
      </c>
      <c r="O1369" s="1" t="s">
        <v>6113</v>
      </c>
    </row>
    <row r="1370" spans="1:15" x14ac:dyDescent="0.4">
      <c r="A1370" s="1" t="s">
        <v>5632</v>
      </c>
      <c r="B1370" s="1" t="s">
        <v>5631</v>
      </c>
      <c r="C1370" s="1" t="s">
        <v>5635</v>
      </c>
      <c r="D1370" s="1" t="s">
        <v>5636</v>
      </c>
      <c r="E1370" s="1" t="s">
        <v>8027</v>
      </c>
      <c r="F1370" s="1" t="s">
        <v>17</v>
      </c>
      <c r="G1370" s="4" t="str">
        <f>"07764-1396"</f>
        <v>07764-1396</v>
      </c>
      <c r="H1370" s="1">
        <v>0</v>
      </c>
      <c r="I1370" s="1">
        <v>0</v>
      </c>
      <c r="J1370" s="1">
        <v>0</v>
      </c>
      <c r="K1370" s="1">
        <v>0</v>
      </c>
      <c r="L1370" s="1" t="s">
        <v>162</v>
      </c>
      <c r="M1370" s="1" t="s">
        <v>5633</v>
      </c>
      <c r="N1370" s="1" t="s">
        <v>13</v>
      </c>
      <c r="O1370" s="1" t="s">
        <v>5634</v>
      </c>
    </row>
    <row r="1371" spans="1:15" x14ac:dyDescent="0.4">
      <c r="A1371" s="1" t="s">
        <v>1343</v>
      </c>
      <c r="B1371" s="1" t="s">
        <v>1327</v>
      </c>
      <c r="C1371" s="1" t="s">
        <v>1346</v>
      </c>
      <c r="D1371" s="1" t="s">
        <v>1331</v>
      </c>
      <c r="E1371" s="1" t="s">
        <v>8018</v>
      </c>
      <c r="F1371" s="1" t="s">
        <v>17</v>
      </c>
      <c r="G1371" s="4" t="str">
        <f>"07481-2129"</f>
        <v>07481-2129</v>
      </c>
      <c r="H1371" s="1">
        <v>5</v>
      </c>
      <c r="I1371" s="1">
        <v>1.4</v>
      </c>
      <c r="J1371" s="1">
        <v>0</v>
      </c>
      <c r="K1371" s="1">
        <v>51</v>
      </c>
      <c r="L1371" s="1" t="s">
        <v>1038</v>
      </c>
      <c r="M1371" s="1" t="s">
        <v>1344</v>
      </c>
      <c r="N1371" s="1" t="s">
        <v>13</v>
      </c>
      <c r="O1371" s="1" t="s">
        <v>1345</v>
      </c>
    </row>
    <row r="1372" spans="1:15" x14ac:dyDescent="0.4">
      <c r="A1372" s="1" t="s">
        <v>2272</v>
      </c>
      <c r="B1372" s="1" t="s">
        <v>2262</v>
      </c>
      <c r="C1372" s="1" t="s">
        <v>2275</v>
      </c>
      <c r="D1372" s="1" t="s">
        <v>2035</v>
      </c>
      <c r="E1372" s="1" t="s">
        <v>1909</v>
      </c>
      <c r="F1372" s="1" t="s">
        <v>17</v>
      </c>
      <c r="G1372" s="4" t="str">
        <f>"08043-9545"</f>
        <v>08043-9545</v>
      </c>
      <c r="H1372" s="1">
        <v>0</v>
      </c>
      <c r="I1372" s="1">
        <v>0</v>
      </c>
      <c r="J1372" s="1">
        <v>0</v>
      </c>
      <c r="K1372" s="1">
        <v>55</v>
      </c>
      <c r="L1372" s="1" t="s">
        <v>611</v>
      </c>
      <c r="M1372" s="1" t="s">
        <v>2273</v>
      </c>
      <c r="N1372" s="1" t="s">
        <v>13</v>
      </c>
      <c r="O1372" s="1" t="s">
        <v>2274</v>
      </c>
    </row>
    <row r="1373" spans="1:15" x14ac:dyDescent="0.4">
      <c r="A1373" s="1" t="s">
        <v>2863</v>
      </c>
      <c r="B1373" s="1" t="s">
        <v>2834</v>
      </c>
      <c r="C1373" s="1" t="s">
        <v>2866</v>
      </c>
      <c r="D1373" s="1" t="s">
        <v>2836</v>
      </c>
      <c r="E1373" s="1" t="s">
        <v>8023</v>
      </c>
      <c r="F1373" s="1" t="s">
        <v>17</v>
      </c>
      <c r="G1373" s="4" t="str">
        <f>"08332"</f>
        <v>08332</v>
      </c>
      <c r="H1373" s="1">
        <v>0</v>
      </c>
      <c r="I1373" s="1">
        <v>0</v>
      </c>
      <c r="J1373" s="1">
        <v>0</v>
      </c>
      <c r="K1373" s="1">
        <v>83</v>
      </c>
      <c r="L1373" s="1" t="s">
        <v>700</v>
      </c>
      <c r="M1373" s="1" t="s">
        <v>2864</v>
      </c>
      <c r="N1373" s="1" t="s">
        <v>13</v>
      </c>
      <c r="O1373" s="1" t="s">
        <v>2865</v>
      </c>
    </row>
    <row r="1374" spans="1:15" x14ac:dyDescent="0.4">
      <c r="A1374" s="1" t="s">
        <v>7848</v>
      </c>
      <c r="B1374" s="1" t="s">
        <v>7834</v>
      </c>
      <c r="C1374" s="1" t="s">
        <v>7849</v>
      </c>
      <c r="D1374" s="1" t="s">
        <v>1348</v>
      </c>
      <c r="E1374" s="1" t="s">
        <v>7833</v>
      </c>
      <c r="F1374" s="1" t="s">
        <v>17</v>
      </c>
      <c r="G1374" s="4" t="str">
        <f>"07201"</f>
        <v>07201</v>
      </c>
      <c r="H1374" s="1">
        <v>0</v>
      </c>
      <c r="I1374" s="1">
        <v>0</v>
      </c>
      <c r="J1374" s="1">
        <v>0</v>
      </c>
      <c r="K1374" s="1">
        <v>0</v>
      </c>
      <c r="L1374" s="1" t="s">
        <v>7844</v>
      </c>
      <c r="M1374" s="1" t="s">
        <v>5845</v>
      </c>
      <c r="N1374" s="1" t="s">
        <v>13</v>
      </c>
      <c r="O1374" s="1" t="s">
        <v>7845</v>
      </c>
    </row>
    <row r="1375" spans="1:15" x14ac:dyDescent="0.4">
      <c r="A1375" s="1" t="s">
        <v>1054</v>
      </c>
      <c r="B1375" s="1" t="s">
        <v>1043</v>
      </c>
      <c r="C1375" s="1" t="s">
        <v>1057</v>
      </c>
      <c r="D1375" s="1" t="s">
        <v>1048</v>
      </c>
      <c r="E1375" s="1" t="s">
        <v>8018</v>
      </c>
      <c r="F1375" s="1" t="s">
        <v>17</v>
      </c>
      <c r="G1375" s="4" t="str">
        <f>"07657"</f>
        <v>07657</v>
      </c>
      <c r="H1375" s="1">
        <v>0</v>
      </c>
      <c r="I1375" s="1">
        <v>0</v>
      </c>
      <c r="J1375" s="1">
        <v>0</v>
      </c>
      <c r="K1375" s="1">
        <v>0</v>
      </c>
      <c r="L1375" s="1" t="s">
        <v>997</v>
      </c>
      <c r="M1375" s="1" t="s">
        <v>1055</v>
      </c>
      <c r="N1375" s="1" t="s">
        <v>13</v>
      </c>
      <c r="O1375" s="1" t="s">
        <v>1056</v>
      </c>
    </row>
    <row r="1376" spans="1:15" x14ac:dyDescent="0.4">
      <c r="A1376" s="1" t="s">
        <v>7074</v>
      </c>
      <c r="B1376" s="1" t="s">
        <v>7063</v>
      </c>
      <c r="C1376" s="1" t="s">
        <v>7077</v>
      </c>
      <c r="D1376" s="1" t="s">
        <v>7067</v>
      </c>
      <c r="E1376" s="1" t="s">
        <v>2471</v>
      </c>
      <c r="F1376" s="1" t="s">
        <v>17</v>
      </c>
      <c r="G1376" s="4" t="str">
        <f>"08805"</f>
        <v>08805</v>
      </c>
      <c r="H1376" s="1">
        <v>0</v>
      </c>
      <c r="I1376" s="1">
        <v>0</v>
      </c>
      <c r="J1376" s="1">
        <v>0</v>
      </c>
      <c r="K1376" s="1">
        <v>0</v>
      </c>
      <c r="L1376" s="1" t="s">
        <v>753</v>
      </c>
      <c r="M1376" s="1" t="s">
        <v>7075</v>
      </c>
      <c r="N1376" s="1" t="s">
        <v>13</v>
      </c>
      <c r="O1376" s="1" t="s">
        <v>7076</v>
      </c>
    </row>
    <row r="1377" spans="1:15" x14ac:dyDescent="0.4">
      <c r="A1377" s="1" t="s">
        <v>2732</v>
      </c>
      <c r="B1377" s="1" t="s">
        <v>2732</v>
      </c>
      <c r="C1377" s="1" t="s">
        <v>2735</v>
      </c>
      <c r="D1377" s="1" t="s">
        <v>2605</v>
      </c>
      <c r="E1377" s="1" t="s">
        <v>8022</v>
      </c>
      <c r="F1377" s="1" t="s">
        <v>17</v>
      </c>
      <c r="G1377" s="4" t="str">
        <f>"07305"</f>
        <v>07305</v>
      </c>
      <c r="H1377" s="1">
        <v>0</v>
      </c>
      <c r="I1377" s="1">
        <v>0</v>
      </c>
      <c r="J1377" s="1">
        <v>0</v>
      </c>
      <c r="K1377" s="1">
        <v>24</v>
      </c>
      <c r="L1377" s="1" t="s">
        <v>445</v>
      </c>
      <c r="M1377" s="1" t="s">
        <v>2733</v>
      </c>
      <c r="N1377" s="1" t="s">
        <v>91</v>
      </c>
      <c r="O1377" s="1" t="s">
        <v>2734</v>
      </c>
    </row>
    <row r="1378" spans="1:15" x14ac:dyDescent="0.4">
      <c r="A1378" s="1" t="s">
        <v>3056</v>
      </c>
      <c r="B1378" s="1" t="s">
        <v>3031</v>
      </c>
      <c r="C1378" s="1" t="s">
        <v>3050</v>
      </c>
      <c r="D1378" s="1" t="s">
        <v>2536</v>
      </c>
      <c r="E1378" s="1" t="s">
        <v>8024</v>
      </c>
      <c r="F1378" s="1" t="s">
        <v>17</v>
      </c>
      <c r="G1378" s="4" t="str">
        <f>"07017-2912"</f>
        <v>07017-2912</v>
      </c>
      <c r="H1378" s="1">
        <v>0</v>
      </c>
      <c r="I1378" s="1">
        <v>0</v>
      </c>
      <c r="J1378" s="1">
        <v>0</v>
      </c>
      <c r="K1378" s="1">
        <v>0</v>
      </c>
      <c r="L1378" s="1" t="s">
        <v>3057</v>
      </c>
      <c r="M1378" s="1" t="s">
        <v>3058</v>
      </c>
      <c r="N1378" s="1" t="s">
        <v>13</v>
      </c>
      <c r="O1378" s="1" t="s">
        <v>3059</v>
      </c>
    </row>
    <row r="1379" spans="1:15" x14ac:dyDescent="0.4">
      <c r="A1379" s="1" t="s">
        <v>8048</v>
      </c>
      <c r="B1379" s="1" t="s">
        <v>2878</v>
      </c>
      <c r="C1379" s="1" t="s">
        <v>2921</v>
      </c>
      <c r="D1379" s="1" t="s">
        <v>2796</v>
      </c>
      <c r="E1379" s="1" t="s">
        <v>8023</v>
      </c>
      <c r="F1379" s="1" t="s">
        <v>17</v>
      </c>
      <c r="G1379" s="4" t="str">
        <f>"08360-2431"</f>
        <v>08360-2431</v>
      </c>
      <c r="H1379" s="1">
        <v>0</v>
      </c>
      <c r="I1379" s="1">
        <v>0</v>
      </c>
      <c r="J1379" s="1">
        <v>0</v>
      </c>
      <c r="K1379" s="1">
        <v>77</v>
      </c>
      <c r="L1379" s="1" t="s">
        <v>2919</v>
      </c>
      <c r="M1379" s="1" t="s">
        <v>1147</v>
      </c>
      <c r="N1379" s="1" t="s">
        <v>13</v>
      </c>
      <c r="O1379" s="1" t="s">
        <v>2920</v>
      </c>
    </row>
    <row r="1380" spans="1:15" x14ac:dyDescent="0.4">
      <c r="A1380" s="1" t="s">
        <v>2239</v>
      </c>
      <c r="B1380" s="1" t="s">
        <v>2238</v>
      </c>
      <c r="C1380" s="1" t="s">
        <v>2242</v>
      </c>
      <c r="D1380" s="1" t="s">
        <v>2243</v>
      </c>
      <c r="E1380" s="1" t="s">
        <v>1909</v>
      </c>
      <c r="F1380" s="1" t="s">
        <v>17</v>
      </c>
      <c r="G1380" s="4" t="str">
        <f>"08083"</f>
        <v>08083</v>
      </c>
      <c r="H1380" s="1">
        <v>0</v>
      </c>
      <c r="I1380" s="1">
        <v>0</v>
      </c>
      <c r="J1380" s="1">
        <v>0</v>
      </c>
      <c r="K1380" s="1">
        <v>55</v>
      </c>
      <c r="L1380" s="1" t="s">
        <v>306</v>
      </c>
      <c r="M1380" s="1" t="s">
        <v>2240</v>
      </c>
      <c r="N1380" s="1" t="s">
        <v>13</v>
      </c>
      <c r="O1380" s="1" t="s">
        <v>2241</v>
      </c>
    </row>
    <row r="1381" spans="1:15" x14ac:dyDescent="0.4">
      <c r="A1381" s="1" t="s">
        <v>7233</v>
      </c>
      <c r="B1381" s="1" t="s">
        <v>7232</v>
      </c>
      <c r="C1381" s="1" t="s">
        <v>7236</v>
      </c>
      <c r="D1381" s="1" t="s">
        <v>7094</v>
      </c>
      <c r="E1381" s="1" t="s">
        <v>2471</v>
      </c>
      <c r="F1381" s="1" t="s">
        <v>17</v>
      </c>
      <c r="G1381" s="4" t="str">
        <f>"08807-0350"</f>
        <v>08807-0350</v>
      </c>
      <c r="H1381" s="1">
        <v>0</v>
      </c>
      <c r="I1381" s="1">
        <v>0</v>
      </c>
      <c r="J1381" s="1">
        <v>0</v>
      </c>
      <c r="K1381" s="1">
        <v>0</v>
      </c>
      <c r="L1381" s="1" t="s">
        <v>2561</v>
      </c>
      <c r="M1381" s="1" t="s">
        <v>7234</v>
      </c>
      <c r="N1381" s="1" t="s">
        <v>13</v>
      </c>
      <c r="O1381" s="1" t="s">
        <v>7235</v>
      </c>
    </row>
    <row r="1382" spans="1:15" x14ac:dyDescent="0.4">
      <c r="A1382" s="1" t="s">
        <v>7223</v>
      </c>
      <c r="B1382" s="1" t="s">
        <v>7222</v>
      </c>
      <c r="C1382" s="1" t="s">
        <v>7227</v>
      </c>
      <c r="D1382" s="1" t="s">
        <v>7094</v>
      </c>
      <c r="E1382" s="1" t="s">
        <v>2471</v>
      </c>
      <c r="F1382" s="1" t="s">
        <v>17</v>
      </c>
      <c r="G1382" s="4" t="str">
        <f>"08807"</f>
        <v>08807</v>
      </c>
      <c r="H1382" s="1">
        <v>0</v>
      </c>
      <c r="I1382" s="1">
        <v>0</v>
      </c>
      <c r="J1382" s="1">
        <v>0</v>
      </c>
      <c r="K1382" s="1">
        <v>1</v>
      </c>
      <c r="L1382" s="1" t="s">
        <v>7224</v>
      </c>
      <c r="M1382" s="1" t="s">
        <v>7225</v>
      </c>
      <c r="N1382" s="1" t="s">
        <v>13</v>
      </c>
      <c r="O1382" s="1" t="s">
        <v>7226</v>
      </c>
    </row>
    <row r="1383" spans="1:15" x14ac:dyDescent="0.4">
      <c r="A1383" s="1" t="s">
        <v>7214</v>
      </c>
      <c r="B1383" s="1" t="s">
        <v>7205</v>
      </c>
      <c r="C1383" s="1" t="s">
        <v>7217</v>
      </c>
      <c r="D1383" s="1" t="s">
        <v>7206</v>
      </c>
      <c r="E1383" s="1" t="s">
        <v>2471</v>
      </c>
      <c r="F1383" s="1" t="s">
        <v>17</v>
      </c>
      <c r="G1383" s="4" t="str">
        <f>"07060"</f>
        <v>07060</v>
      </c>
      <c r="H1383" s="1">
        <v>0</v>
      </c>
      <c r="I1383" s="1">
        <v>0</v>
      </c>
      <c r="J1383" s="1">
        <v>0</v>
      </c>
      <c r="K1383" s="1">
        <v>0</v>
      </c>
      <c r="L1383" s="1" t="s">
        <v>7215</v>
      </c>
      <c r="M1383" s="1" t="s">
        <v>3839</v>
      </c>
      <c r="N1383" s="1" t="s">
        <v>13</v>
      </c>
      <c r="O1383" s="1" t="s">
        <v>7216</v>
      </c>
    </row>
    <row r="1384" spans="1:15" x14ac:dyDescent="0.4">
      <c r="A1384" s="1" t="s">
        <v>7228</v>
      </c>
      <c r="B1384" s="1" t="s">
        <v>7222</v>
      </c>
      <c r="C1384" s="1" t="s">
        <v>7227</v>
      </c>
      <c r="D1384" s="1" t="s">
        <v>7094</v>
      </c>
      <c r="E1384" s="1" t="s">
        <v>2471</v>
      </c>
      <c r="F1384" s="1" t="s">
        <v>17</v>
      </c>
      <c r="G1384" s="4" t="str">
        <f>"08807"</f>
        <v>08807</v>
      </c>
      <c r="H1384" s="1">
        <v>0</v>
      </c>
      <c r="I1384" s="1">
        <v>0</v>
      </c>
      <c r="J1384" s="1">
        <v>0</v>
      </c>
      <c r="K1384" s="1">
        <v>0</v>
      </c>
      <c r="L1384" s="1" t="s">
        <v>7224</v>
      </c>
      <c r="M1384" s="1" t="s">
        <v>7225</v>
      </c>
      <c r="N1384" s="1" t="s">
        <v>13</v>
      </c>
      <c r="O1384" s="1" t="s">
        <v>7226</v>
      </c>
    </row>
    <row r="1385" spans="1:15" x14ac:dyDescent="0.4">
      <c r="A1385" s="1" t="s">
        <v>1087</v>
      </c>
      <c r="B1385" s="1" t="s">
        <v>1058</v>
      </c>
      <c r="C1385" s="1" t="s">
        <v>1091</v>
      </c>
      <c r="D1385" s="1" t="s">
        <v>1063</v>
      </c>
      <c r="E1385" s="1" t="s">
        <v>8018</v>
      </c>
      <c r="F1385" s="1" t="s">
        <v>17</v>
      </c>
      <c r="G1385" s="4" t="str">
        <f>"07451"</f>
        <v>07451</v>
      </c>
      <c r="H1385" s="1">
        <v>0</v>
      </c>
      <c r="I1385" s="1">
        <v>0</v>
      </c>
      <c r="J1385" s="1">
        <v>0</v>
      </c>
      <c r="K1385" s="1">
        <v>65</v>
      </c>
      <c r="L1385" s="1" t="s">
        <v>1088</v>
      </c>
      <c r="M1385" s="1" t="s">
        <v>1089</v>
      </c>
      <c r="N1385" s="1" t="s">
        <v>13</v>
      </c>
      <c r="O1385" s="1" t="s">
        <v>1090</v>
      </c>
    </row>
    <row r="1386" spans="1:15" x14ac:dyDescent="0.4">
      <c r="A1386" s="1" t="s">
        <v>7247</v>
      </c>
      <c r="B1386" s="1" t="s">
        <v>7246</v>
      </c>
      <c r="C1386" s="1" t="s">
        <v>7249</v>
      </c>
      <c r="D1386" s="1" t="s">
        <v>1781</v>
      </c>
      <c r="E1386" s="1" t="s">
        <v>2471</v>
      </c>
      <c r="F1386" s="1" t="s">
        <v>17</v>
      </c>
      <c r="G1386" s="4" t="str">
        <f>"08876-1515"</f>
        <v>08876-1515</v>
      </c>
      <c r="H1386" s="1">
        <v>0</v>
      </c>
      <c r="I1386" s="1">
        <v>0</v>
      </c>
      <c r="J1386" s="1">
        <v>0</v>
      </c>
      <c r="K1386" s="1">
        <v>0</v>
      </c>
      <c r="L1386" s="1" t="s">
        <v>4499</v>
      </c>
      <c r="M1386" s="1" t="s">
        <v>131</v>
      </c>
      <c r="N1386" s="1" t="s">
        <v>13</v>
      </c>
      <c r="O1386" s="1" t="s">
        <v>7248</v>
      </c>
    </row>
    <row r="1387" spans="1:15" x14ac:dyDescent="0.4">
      <c r="A1387" s="1" t="s">
        <v>7250</v>
      </c>
      <c r="B1387" s="1" t="s">
        <v>7246</v>
      </c>
      <c r="C1387" s="1" t="s">
        <v>7253</v>
      </c>
      <c r="D1387" s="1" t="s">
        <v>1781</v>
      </c>
      <c r="E1387" s="1" t="s">
        <v>2471</v>
      </c>
      <c r="F1387" s="1" t="s">
        <v>17</v>
      </c>
      <c r="G1387" s="4" t="str">
        <f>"08876-1903"</f>
        <v>08876-1903</v>
      </c>
      <c r="H1387" s="1">
        <v>0</v>
      </c>
      <c r="I1387" s="1">
        <v>0</v>
      </c>
      <c r="J1387" s="1">
        <v>0</v>
      </c>
      <c r="K1387" s="1">
        <v>0</v>
      </c>
      <c r="L1387" s="1" t="s">
        <v>153</v>
      </c>
      <c r="M1387" s="1" t="s">
        <v>7251</v>
      </c>
      <c r="N1387" s="1" t="s">
        <v>13</v>
      </c>
      <c r="O1387" s="1" t="s">
        <v>7252</v>
      </c>
    </row>
    <row r="1388" spans="1:15" x14ac:dyDescent="0.4">
      <c r="A1388" s="1" t="s">
        <v>6658</v>
      </c>
      <c r="B1388" s="1" t="s">
        <v>6622</v>
      </c>
      <c r="C1388" s="1" t="s">
        <v>6660</v>
      </c>
      <c r="D1388" s="1" t="s">
        <v>2670</v>
      </c>
      <c r="E1388" s="1" t="s">
        <v>2670</v>
      </c>
      <c r="F1388" s="1" t="s">
        <v>17</v>
      </c>
      <c r="G1388" s="4" t="str">
        <f>"07055"</f>
        <v>07055</v>
      </c>
      <c r="H1388" s="1">
        <v>0</v>
      </c>
      <c r="I1388" s="1">
        <v>0</v>
      </c>
      <c r="J1388" s="1">
        <v>0</v>
      </c>
      <c r="K1388" s="1">
        <v>72</v>
      </c>
      <c r="L1388" s="1" t="s">
        <v>1789</v>
      </c>
      <c r="M1388" s="1" t="s">
        <v>6487</v>
      </c>
      <c r="N1388" s="1" t="s">
        <v>13</v>
      </c>
      <c r="O1388" s="1" t="s">
        <v>6659</v>
      </c>
    </row>
    <row r="1389" spans="1:15" x14ac:dyDescent="0.4">
      <c r="A1389" s="1" t="s">
        <v>7532</v>
      </c>
      <c r="B1389" s="1" t="s">
        <v>7477</v>
      </c>
      <c r="C1389" s="1" t="s">
        <v>7534</v>
      </c>
      <c r="D1389" s="1" t="s">
        <v>3890</v>
      </c>
      <c r="E1389" s="1" t="s">
        <v>7833</v>
      </c>
      <c r="F1389" s="1" t="s">
        <v>17</v>
      </c>
      <c r="G1389" s="4" t="str">
        <f>"07206"</f>
        <v>07206</v>
      </c>
      <c r="H1389" s="1">
        <v>0</v>
      </c>
      <c r="I1389" s="1">
        <v>0</v>
      </c>
      <c r="J1389" s="1">
        <v>0</v>
      </c>
      <c r="K1389" s="1">
        <v>78</v>
      </c>
      <c r="L1389" s="1" t="s">
        <v>800</v>
      </c>
      <c r="M1389" s="1" t="s">
        <v>3242</v>
      </c>
      <c r="N1389" s="1" t="s">
        <v>13</v>
      </c>
      <c r="O1389" s="1" t="s">
        <v>7533</v>
      </c>
    </row>
    <row r="1390" spans="1:15" x14ac:dyDescent="0.4">
      <c r="A1390" s="1" t="s">
        <v>4965</v>
      </c>
      <c r="B1390" s="1" t="s">
        <v>4963</v>
      </c>
      <c r="C1390" s="1" t="s">
        <v>4967</v>
      </c>
      <c r="D1390" s="1" t="s">
        <v>4964</v>
      </c>
      <c r="E1390" s="1" t="s">
        <v>4704</v>
      </c>
      <c r="F1390" s="1" t="s">
        <v>17</v>
      </c>
      <c r="G1390" s="4" t="str">
        <f>"08879"</f>
        <v>08879</v>
      </c>
      <c r="H1390" s="1">
        <v>0</v>
      </c>
      <c r="I1390" s="1">
        <v>0</v>
      </c>
      <c r="J1390" s="1">
        <v>0</v>
      </c>
      <c r="K1390" s="1">
        <v>0</v>
      </c>
      <c r="L1390" s="1" t="s">
        <v>34</v>
      </c>
      <c r="M1390" s="1" t="s">
        <v>171</v>
      </c>
      <c r="N1390" s="1" t="s">
        <v>13</v>
      </c>
      <c r="O1390" s="1" t="s">
        <v>4966</v>
      </c>
    </row>
    <row r="1391" spans="1:15" x14ac:dyDescent="0.4">
      <c r="A1391" s="1" t="s">
        <v>4994</v>
      </c>
      <c r="B1391" s="1" t="s">
        <v>4968</v>
      </c>
      <c r="C1391" s="1" t="s">
        <v>4997</v>
      </c>
      <c r="D1391" s="1" t="s">
        <v>4973</v>
      </c>
      <c r="E1391" s="1" t="s">
        <v>4704</v>
      </c>
      <c r="F1391" s="1" t="s">
        <v>17</v>
      </c>
      <c r="G1391" s="4" t="str">
        <f>"08852-9721"</f>
        <v>08852-9721</v>
      </c>
      <c r="H1391" s="1">
        <v>0</v>
      </c>
      <c r="I1391" s="1">
        <v>0</v>
      </c>
      <c r="J1391" s="1">
        <v>0</v>
      </c>
      <c r="K1391" s="1">
        <v>0</v>
      </c>
      <c r="L1391" s="1" t="s">
        <v>490</v>
      </c>
      <c r="M1391" s="1" t="s">
        <v>4995</v>
      </c>
      <c r="N1391" s="1" t="s">
        <v>13</v>
      </c>
      <c r="O1391" s="1" t="s">
        <v>4996</v>
      </c>
    </row>
    <row r="1392" spans="1:15" x14ac:dyDescent="0.4">
      <c r="A1392" s="1" t="s">
        <v>4165</v>
      </c>
      <c r="B1392" s="1" t="s">
        <v>4163</v>
      </c>
      <c r="C1392" s="1" t="s">
        <v>4168</v>
      </c>
      <c r="D1392" s="1" t="s">
        <v>4164</v>
      </c>
      <c r="E1392" s="1" t="s">
        <v>8025</v>
      </c>
      <c r="F1392" s="1" t="s">
        <v>17</v>
      </c>
      <c r="G1392" s="4" t="str">
        <f>"08530"</f>
        <v>08530</v>
      </c>
      <c r="H1392" s="1">
        <v>0</v>
      </c>
      <c r="I1392" s="1">
        <v>0</v>
      </c>
      <c r="J1392" s="1">
        <v>0</v>
      </c>
      <c r="K1392" s="1">
        <v>0</v>
      </c>
      <c r="L1392" s="1" t="s">
        <v>38</v>
      </c>
      <c r="M1392" s="1" t="s">
        <v>4166</v>
      </c>
      <c r="N1392" s="1" t="s">
        <v>13</v>
      </c>
      <c r="O1392" s="1" t="s">
        <v>4167</v>
      </c>
    </row>
    <row r="1393" spans="1:15" x14ac:dyDescent="0.4">
      <c r="A1393" s="1" t="s">
        <v>3455</v>
      </c>
      <c r="B1393" s="1" t="s">
        <v>3430</v>
      </c>
      <c r="C1393" s="1" t="s">
        <v>3457</v>
      </c>
      <c r="D1393" s="1" t="s">
        <v>3450</v>
      </c>
      <c r="E1393" s="1" t="s">
        <v>8024</v>
      </c>
      <c r="F1393" s="1" t="s">
        <v>17</v>
      </c>
      <c r="G1393" s="4" t="str">
        <f>"07079-1234"</f>
        <v>07079-1234</v>
      </c>
      <c r="H1393" s="1">
        <v>0</v>
      </c>
      <c r="I1393" s="1">
        <v>0</v>
      </c>
      <c r="J1393" s="1">
        <v>0</v>
      </c>
      <c r="K1393" s="1">
        <v>85</v>
      </c>
      <c r="L1393" s="1" t="s">
        <v>11</v>
      </c>
      <c r="M1393" s="1" t="s">
        <v>1500</v>
      </c>
      <c r="N1393" s="1" t="s">
        <v>13</v>
      </c>
      <c r="O1393" s="1" t="s">
        <v>3456</v>
      </c>
    </row>
    <row r="1394" spans="1:15" x14ac:dyDescent="0.4">
      <c r="A1394" s="1" t="s">
        <v>3458</v>
      </c>
      <c r="B1394" s="1" t="s">
        <v>3430</v>
      </c>
      <c r="C1394" s="1" t="s">
        <v>3461</v>
      </c>
      <c r="D1394" s="1" t="s">
        <v>3450</v>
      </c>
      <c r="E1394" s="1" t="s">
        <v>8024</v>
      </c>
      <c r="F1394" s="1" t="s">
        <v>17</v>
      </c>
      <c r="G1394" s="4" t="str">
        <f>"07079-1518"</f>
        <v>07079-1518</v>
      </c>
      <c r="H1394" s="1">
        <v>0</v>
      </c>
      <c r="I1394" s="1">
        <v>0</v>
      </c>
      <c r="J1394" s="1">
        <v>0</v>
      </c>
      <c r="K1394" s="1">
        <v>0</v>
      </c>
      <c r="L1394" s="1" t="s">
        <v>220</v>
      </c>
      <c r="M1394" s="1" t="s">
        <v>3459</v>
      </c>
      <c r="N1394" s="1" t="s">
        <v>13</v>
      </c>
      <c r="O1394" s="1" t="s">
        <v>3460</v>
      </c>
    </row>
    <row r="1395" spans="1:15" x14ac:dyDescent="0.4">
      <c r="A1395" s="1" t="s">
        <v>5008</v>
      </c>
      <c r="B1395" s="1" t="s">
        <v>4998</v>
      </c>
      <c r="C1395" s="1" t="s">
        <v>5011</v>
      </c>
      <c r="D1395" s="1" t="s">
        <v>4999</v>
      </c>
      <c r="E1395" s="1" t="s">
        <v>4704</v>
      </c>
      <c r="F1395" s="1" t="s">
        <v>17</v>
      </c>
      <c r="G1395" s="4" t="str">
        <f>"07080"</f>
        <v>07080</v>
      </c>
      <c r="H1395" s="1">
        <v>0</v>
      </c>
      <c r="I1395" s="1">
        <v>0</v>
      </c>
      <c r="J1395" s="1">
        <v>0</v>
      </c>
      <c r="K1395" s="1">
        <v>0</v>
      </c>
      <c r="L1395" s="1" t="s">
        <v>434</v>
      </c>
      <c r="M1395" s="1" t="s">
        <v>5009</v>
      </c>
      <c r="N1395" s="1" t="s">
        <v>13</v>
      </c>
      <c r="O1395" s="1" t="s">
        <v>5010</v>
      </c>
    </row>
    <row r="1396" spans="1:15" x14ac:dyDescent="0.4">
      <c r="A1396" s="1" t="s">
        <v>5012</v>
      </c>
      <c r="B1396" s="1" t="s">
        <v>4998</v>
      </c>
      <c r="C1396" s="1" t="s">
        <v>5016</v>
      </c>
      <c r="D1396" s="1" t="s">
        <v>4999</v>
      </c>
      <c r="E1396" s="1" t="s">
        <v>4704</v>
      </c>
      <c r="F1396" s="1" t="s">
        <v>17</v>
      </c>
      <c r="G1396" s="4" t="str">
        <f>"07080"</f>
        <v>07080</v>
      </c>
      <c r="H1396" s="1">
        <v>0</v>
      </c>
      <c r="I1396" s="1">
        <v>0</v>
      </c>
      <c r="J1396" s="1">
        <v>0</v>
      </c>
      <c r="K1396" s="1">
        <v>0</v>
      </c>
      <c r="L1396" s="1" t="s">
        <v>5013</v>
      </c>
      <c r="M1396" s="1" t="s">
        <v>5014</v>
      </c>
      <c r="N1396" s="1" t="s">
        <v>13</v>
      </c>
      <c r="O1396" s="1" t="s">
        <v>5015</v>
      </c>
    </row>
    <row r="1397" spans="1:15" x14ac:dyDescent="0.4">
      <c r="A1397" s="1" t="s">
        <v>5019</v>
      </c>
      <c r="B1397" s="1" t="s">
        <v>5017</v>
      </c>
      <c r="C1397" s="1" t="s">
        <v>5022</v>
      </c>
      <c r="D1397" s="1" t="s">
        <v>5018</v>
      </c>
      <c r="E1397" s="1" t="s">
        <v>4704</v>
      </c>
      <c r="F1397" s="1" t="s">
        <v>17</v>
      </c>
      <c r="G1397" s="4" t="str">
        <f>"08882"</f>
        <v>08882</v>
      </c>
      <c r="H1397" s="1">
        <v>0</v>
      </c>
      <c r="I1397" s="1">
        <v>0</v>
      </c>
      <c r="J1397" s="1">
        <v>0</v>
      </c>
      <c r="K1397" s="1">
        <v>0</v>
      </c>
      <c r="L1397" s="1" t="s">
        <v>1563</v>
      </c>
      <c r="M1397" s="1" t="s">
        <v>5020</v>
      </c>
      <c r="N1397" s="1" t="s">
        <v>13</v>
      </c>
      <c r="O1397" s="1" t="s">
        <v>5021</v>
      </c>
    </row>
    <row r="1398" spans="1:15" x14ac:dyDescent="0.4">
      <c r="A1398" s="1" t="s">
        <v>5023</v>
      </c>
      <c r="B1398" s="1" t="s">
        <v>5017</v>
      </c>
      <c r="C1398" s="1" t="s">
        <v>5026</v>
      </c>
      <c r="D1398" s="1" t="s">
        <v>5018</v>
      </c>
      <c r="E1398" s="1" t="s">
        <v>4704</v>
      </c>
      <c r="F1398" s="1" t="s">
        <v>17</v>
      </c>
      <c r="G1398" s="4" t="str">
        <f>"08882"</f>
        <v>08882</v>
      </c>
      <c r="H1398" s="1">
        <v>0</v>
      </c>
      <c r="I1398" s="1">
        <v>0</v>
      </c>
      <c r="J1398" s="1">
        <v>0</v>
      </c>
      <c r="K1398" s="1">
        <v>0</v>
      </c>
      <c r="L1398" s="1" t="s">
        <v>88</v>
      </c>
      <c r="M1398" s="1" t="s">
        <v>5024</v>
      </c>
      <c r="N1398" s="1" t="s">
        <v>13</v>
      </c>
      <c r="O1398" s="1" t="s">
        <v>5025</v>
      </c>
    </row>
    <row r="1399" spans="1:15" x14ac:dyDescent="0.4">
      <c r="A1399" s="1" t="s">
        <v>5027</v>
      </c>
      <c r="B1399" s="1" t="s">
        <v>5017</v>
      </c>
      <c r="C1399" s="1" t="s">
        <v>5030</v>
      </c>
      <c r="D1399" s="1" t="s">
        <v>5018</v>
      </c>
      <c r="E1399" s="1" t="s">
        <v>4704</v>
      </c>
      <c r="F1399" s="1" t="s">
        <v>17</v>
      </c>
      <c r="G1399" s="4" t="str">
        <f>"08882"</f>
        <v>08882</v>
      </c>
      <c r="H1399" s="1">
        <v>0</v>
      </c>
      <c r="I1399" s="1">
        <v>0</v>
      </c>
      <c r="J1399" s="1">
        <v>0</v>
      </c>
      <c r="K1399" s="1">
        <v>0</v>
      </c>
      <c r="L1399" s="1" t="s">
        <v>40</v>
      </c>
      <c r="M1399" s="1" t="s">
        <v>5028</v>
      </c>
      <c r="N1399" s="1" t="s">
        <v>13</v>
      </c>
      <c r="O1399" s="1" t="s">
        <v>5029</v>
      </c>
    </row>
    <row r="1400" spans="1:15" x14ac:dyDescent="0.4">
      <c r="A1400" s="1" t="s">
        <v>6493</v>
      </c>
      <c r="B1400" s="1" t="s">
        <v>6474</v>
      </c>
      <c r="C1400" s="1" t="s">
        <v>6496</v>
      </c>
      <c r="D1400" s="1" t="s">
        <v>6497</v>
      </c>
      <c r="E1400" s="1" t="s">
        <v>8028</v>
      </c>
      <c r="F1400" s="1" t="s">
        <v>17</v>
      </c>
      <c r="G1400" s="4" t="str">
        <f>"08757"</f>
        <v>08757</v>
      </c>
      <c r="H1400" s="1">
        <v>0</v>
      </c>
      <c r="I1400" s="1">
        <v>0</v>
      </c>
      <c r="J1400" s="1">
        <v>0</v>
      </c>
      <c r="K1400" s="1">
        <v>46</v>
      </c>
      <c r="L1400" s="1" t="s">
        <v>318</v>
      </c>
      <c r="M1400" s="1" t="s">
        <v>6494</v>
      </c>
      <c r="N1400" s="1" t="s">
        <v>13</v>
      </c>
      <c r="O1400" s="1" t="s">
        <v>6495</v>
      </c>
    </row>
    <row r="1401" spans="1:15" x14ac:dyDescent="0.4">
      <c r="A1401" s="1" t="s">
        <v>1596</v>
      </c>
      <c r="B1401" s="1" t="s">
        <v>1580</v>
      </c>
      <c r="C1401" s="1" t="s">
        <v>1599</v>
      </c>
      <c r="D1401" s="1" t="s">
        <v>1585</v>
      </c>
      <c r="E1401" s="1" t="s">
        <v>8019</v>
      </c>
      <c r="F1401" s="1" t="s">
        <v>17</v>
      </c>
      <c r="G1401" s="4" t="str">
        <f>"08057"</f>
        <v>08057</v>
      </c>
      <c r="H1401" s="1">
        <v>0</v>
      </c>
      <c r="I1401" s="1">
        <v>0</v>
      </c>
      <c r="J1401" s="1">
        <v>86</v>
      </c>
      <c r="K1401" s="1">
        <v>0</v>
      </c>
      <c r="L1401" s="1" t="s">
        <v>714</v>
      </c>
      <c r="M1401" s="1" t="s">
        <v>1597</v>
      </c>
      <c r="N1401" s="1" t="s">
        <v>13</v>
      </c>
      <c r="O1401" s="1" t="s">
        <v>1598</v>
      </c>
    </row>
    <row r="1402" spans="1:15" x14ac:dyDescent="0.4">
      <c r="A1402" s="1" t="s">
        <v>1738</v>
      </c>
      <c r="B1402" s="1" t="s">
        <v>1737</v>
      </c>
      <c r="C1402" s="1" t="s">
        <v>1741</v>
      </c>
      <c r="D1402" s="1" t="s">
        <v>1742</v>
      </c>
      <c r="E1402" s="1" t="s">
        <v>8019</v>
      </c>
      <c r="F1402" s="1" t="s">
        <v>17</v>
      </c>
      <c r="G1402" s="4" t="str">
        <f>"08088-3310"</f>
        <v>08088-3310</v>
      </c>
      <c r="H1402" s="1">
        <v>0</v>
      </c>
      <c r="I1402" s="1">
        <v>0</v>
      </c>
      <c r="J1402" s="1">
        <v>0</v>
      </c>
      <c r="K1402" s="1">
        <v>69</v>
      </c>
      <c r="L1402" s="1" t="s">
        <v>497</v>
      </c>
      <c r="M1402" s="1" t="s">
        <v>1739</v>
      </c>
      <c r="N1402" s="1" t="s">
        <v>13</v>
      </c>
      <c r="O1402" s="1" t="s">
        <v>1740</v>
      </c>
    </row>
    <row r="1403" spans="1:15" x14ac:dyDescent="0.4">
      <c r="A1403" s="1" t="s">
        <v>1743</v>
      </c>
      <c r="B1403" s="1" t="s">
        <v>1737</v>
      </c>
      <c r="C1403" s="1" t="s">
        <v>1747</v>
      </c>
      <c r="D1403" s="1" t="s">
        <v>1742</v>
      </c>
      <c r="E1403" s="1" t="s">
        <v>8019</v>
      </c>
      <c r="F1403" s="1" t="s">
        <v>17</v>
      </c>
      <c r="G1403" s="4" t="str">
        <f>"08088-3351"</f>
        <v>08088-3351</v>
      </c>
      <c r="H1403" s="1">
        <v>0</v>
      </c>
      <c r="I1403" s="1">
        <v>0</v>
      </c>
      <c r="J1403" s="1">
        <v>0</v>
      </c>
      <c r="K1403" s="1">
        <v>0</v>
      </c>
      <c r="L1403" s="1" t="s">
        <v>1744</v>
      </c>
      <c r="M1403" s="1" t="s">
        <v>1745</v>
      </c>
      <c r="N1403" s="1" t="s">
        <v>13</v>
      </c>
      <c r="O1403" s="1" t="s">
        <v>1746</v>
      </c>
    </row>
    <row r="1404" spans="1:15" x14ac:dyDescent="0.4">
      <c r="A1404" s="1" t="s">
        <v>1748</v>
      </c>
      <c r="B1404" s="1" t="s">
        <v>1737</v>
      </c>
      <c r="C1404" s="1" t="s">
        <v>1749</v>
      </c>
      <c r="D1404" s="1" t="s">
        <v>1742</v>
      </c>
      <c r="E1404" s="1" t="s">
        <v>8019</v>
      </c>
      <c r="F1404" s="1" t="s">
        <v>17</v>
      </c>
      <c r="G1404" s="4" t="str">
        <f>"08088-3349"</f>
        <v>08088-3349</v>
      </c>
      <c r="H1404" s="1">
        <v>0</v>
      </c>
      <c r="I1404" s="1">
        <v>0</v>
      </c>
      <c r="J1404" s="1">
        <v>0</v>
      </c>
      <c r="K1404" s="1">
        <v>0</v>
      </c>
      <c r="L1404" s="1" t="s">
        <v>1744</v>
      </c>
      <c r="M1404" s="1" t="s">
        <v>1745</v>
      </c>
      <c r="N1404" s="1" t="s">
        <v>13</v>
      </c>
      <c r="O1404" s="1" t="s">
        <v>1746</v>
      </c>
    </row>
    <row r="1405" spans="1:15" x14ac:dyDescent="0.4">
      <c r="A1405" s="1" t="s">
        <v>6169</v>
      </c>
      <c r="B1405" s="1" t="s">
        <v>6157</v>
      </c>
      <c r="C1405" s="1" t="s">
        <v>6173</v>
      </c>
      <c r="D1405" s="1" t="s">
        <v>6161</v>
      </c>
      <c r="E1405" s="1" t="s">
        <v>1503</v>
      </c>
      <c r="F1405" s="1" t="s">
        <v>17</v>
      </c>
      <c r="G1405" s="4" t="str">
        <f>"07928-1324"</f>
        <v>07928-1324</v>
      </c>
      <c r="H1405" s="1">
        <v>0</v>
      </c>
      <c r="I1405" s="1">
        <v>0</v>
      </c>
      <c r="J1405" s="1">
        <v>0</v>
      </c>
      <c r="K1405" s="1">
        <v>95</v>
      </c>
      <c r="L1405" s="1" t="s">
        <v>6170</v>
      </c>
      <c r="M1405" s="1" t="s">
        <v>6171</v>
      </c>
      <c r="N1405" s="1" t="s">
        <v>13</v>
      </c>
      <c r="O1405" s="1" t="s">
        <v>6172</v>
      </c>
    </row>
    <row r="1406" spans="1:15" x14ac:dyDescent="0.4">
      <c r="A1406" s="1" t="s">
        <v>6456</v>
      </c>
      <c r="B1406" s="1" t="s">
        <v>6455</v>
      </c>
      <c r="C1406" s="1" t="s">
        <v>6459</v>
      </c>
      <c r="D1406" s="1" t="s">
        <v>6381</v>
      </c>
      <c r="E1406" s="1" t="s">
        <v>8028</v>
      </c>
      <c r="F1406" s="1" t="s">
        <v>17</v>
      </c>
      <c r="G1406" s="4" t="str">
        <f>"08050-3022"</f>
        <v>08050-3022</v>
      </c>
      <c r="H1406" s="1">
        <v>0</v>
      </c>
      <c r="I1406" s="1">
        <v>0</v>
      </c>
      <c r="J1406" s="1">
        <v>0</v>
      </c>
      <c r="K1406" s="1">
        <v>0</v>
      </c>
      <c r="L1406" s="1" t="s">
        <v>62</v>
      </c>
      <c r="M1406" s="1" t="s">
        <v>6457</v>
      </c>
      <c r="N1406" s="1" t="s">
        <v>13</v>
      </c>
      <c r="O1406" s="1" t="s">
        <v>6458</v>
      </c>
    </row>
    <row r="1407" spans="1:15" x14ac:dyDescent="0.4">
      <c r="A1407" s="1" t="s">
        <v>6460</v>
      </c>
      <c r="B1407" s="1" t="s">
        <v>6455</v>
      </c>
      <c r="C1407" s="1" t="s">
        <v>6464</v>
      </c>
      <c r="D1407" s="1" t="s">
        <v>6381</v>
      </c>
      <c r="E1407" s="1" t="s">
        <v>8028</v>
      </c>
      <c r="F1407" s="1" t="s">
        <v>17</v>
      </c>
      <c r="G1407" s="4" t="str">
        <f>"08050-3056"</f>
        <v>08050-3056</v>
      </c>
      <c r="H1407" s="1">
        <v>0</v>
      </c>
      <c r="I1407" s="1">
        <v>0</v>
      </c>
      <c r="J1407" s="1">
        <v>0</v>
      </c>
      <c r="K1407" s="1">
        <v>0</v>
      </c>
      <c r="L1407" s="1" t="s">
        <v>6461</v>
      </c>
      <c r="M1407" s="1" t="s">
        <v>6462</v>
      </c>
      <c r="N1407" s="1" t="s">
        <v>13</v>
      </c>
      <c r="O1407" s="1" t="s">
        <v>6463</v>
      </c>
    </row>
    <row r="1408" spans="1:15" x14ac:dyDescent="0.4">
      <c r="A1408" s="1" t="s">
        <v>7356</v>
      </c>
      <c r="B1408" s="1" t="s">
        <v>7346</v>
      </c>
      <c r="C1408" s="1" t="s">
        <v>7359</v>
      </c>
      <c r="D1408" s="1" t="s">
        <v>2741</v>
      </c>
      <c r="E1408" s="1" t="s">
        <v>8030</v>
      </c>
      <c r="F1408" s="1" t="s">
        <v>17</v>
      </c>
      <c r="G1408" s="4" t="str">
        <f>"07871"</f>
        <v>07871</v>
      </c>
      <c r="H1408" s="1">
        <v>0</v>
      </c>
      <c r="I1408" s="1">
        <v>0</v>
      </c>
      <c r="J1408" s="1">
        <v>0</v>
      </c>
      <c r="K1408" s="1">
        <v>0</v>
      </c>
      <c r="L1408" s="1" t="s">
        <v>685</v>
      </c>
      <c r="M1408" s="1" t="s">
        <v>7357</v>
      </c>
      <c r="N1408" s="1" t="s">
        <v>13</v>
      </c>
      <c r="O1408" s="1" t="s">
        <v>7358</v>
      </c>
    </row>
    <row r="1409" spans="1:15" x14ac:dyDescent="0.4">
      <c r="A1409" s="1" t="s">
        <v>7360</v>
      </c>
      <c r="B1409" s="1" t="s">
        <v>7346</v>
      </c>
      <c r="C1409" s="1" t="s">
        <v>7363</v>
      </c>
      <c r="D1409" s="1" t="s">
        <v>2741</v>
      </c>
      <c r="E1409" s="1" t="s">
        <v>8030</v>
      </c>
      <c r="F1409" s="1" t="s">
        <v>17</v>
      </c>
      <c r="G1409" s="4" t="str">
        <f>"07871"</f>
        <v>07871</v>
      </c>
      <c r="H1409" s="1">
        <v>0</v>
      </c>
      <c r="I1409" s="1">
        <v>0</v>
      </c>
      <c r="J1409" s="1">
        <v>0</v>
      </c>
      <c r="K1409" s="1">
        <v>0</v>
      </c>
      <c r="L1409" s="1" t="s">
        <v>6199</v>
      </c>
      <c r="M1409" s="1" t="s">
        <v>7361</v>
      </c>
      <c r="N1409" s="1" t="s">
        <v>13</v>
      </c>
      <c r="O1409" s="1" t="s">
        <v>7362</v>
      </c>
    </row>
    <row r="1410" spans="1:15" x14ac:dyDescent="0.4">
      <c r="A1410" s="1" t="s">
        <v>5037</v>
      </c>
      <c r="B1410" s="1" t="s">
        <v>5031</v>
      </c>
      <c r="C1410" s="1" t="s">
        <v>5039</v>
      </c>
      <c r="D1410" s="1" t="s">
        <v>5036</v>
      </c>
      <c r="E1410" s="1" t="s">
        <v>4704</v>
      </c>
      <c r="F1410" s="1" t="s">
        <v>17</v>
      </c>
      <c r="G1410" s="4" t="str">
        <f>"08884"</f>
        <v>08884</v>
      </c>
      <c r="H1410" s="1">
        <v>0</v>
      </c>
      <c r="I1410" s="1">
        <v>0</v>
      </c>
      <c r="J1410" s="1">
        <v>0</v>
      </c>
      <c r="K1410" s="1">
        <v>0</v>
      </c>
      <c r="L1410" s="1" t="s">
        <v>414</v>
      </c>
      <c r="M1410" s="1" t="s">
        <v>1593</v>
      </c>
      <c r="N1410" s="1" t="s">
        <v>13</v>
      </c>
      <c r="O1410" s="1" t="s">
        <v>5038</v>
      </c>
    </row>
    <row r="1411" spans="1:15" x14ac:dyDescent="0.4">
      <c r="A1411" s="1" t="s">
        <v>5040</v>
      </c>
      <c r="B1411" s="1" t="s">
        <v>5031</v>
      </c>
      <c r="C1411" s="1" t="s">
        <v>5043</v>
      </c>
      <c r="D1411" s="1" t="s">
        <v>5036</v>
      </c>
      <c r="E1411" s="1" t="s">
        <v>4704</v>
      </c>
      <c r="F1411" s="1" t="s">
        <v>17</v>
      </c>
      <c r="G1411" s="4" t="str">
        <f>"08884"</f>
        <v>08884</v>
      </c>
      <c r="H1411" s="1">
        <v>0</v>
      </c>
      <c r="I1411" s="1">
        <v>0</v>
      </c>
      <c r="J1411" s="1">
        <v>0</v>
      </c>
      <c r="K1411" s="1">
        <v>0</v>
      </c>
      <c r="L1411" s="1" t="s">
        <v>146</v>
      </c>
      <c r="M1411" s="1" t="s">
        <v>5041</v>
      </c>
      <c r="N1411" s="1" t="s">
        <v>13</v>
      </c>
      <c r="O1411" s="1" t="s">
        <v>5042</v>
      </c>
    </row>
    <row r="1412" spans="1:15" x14ac:dyDescent="0.4">
      <c r="A1412" s="1" t="s">
        <v>5638</v>
      </c>
      <c r="B1412" s="1" t="s">
        <v>5637</v>
      </c>
      <c r="C1412" s="1" t="s">
        <v>5641</v>
      </c>
      <c r="D1412" s="1" t="s">
        <v>5642</v>
      </c>
      <c r="E1412" s="1" t="s">
        <v>8027</v>
      </c>
      <c r="F1412" s="1" t="s">
        <v>17</v>
      </c>
      <c r="G1412" s="4" t="str">
        <f>"07762-2009"</f>
        <v>07762-2009</v>
      </c>
      <c r="H1412" s="1">
        <v>0</v>
      </c>
      <c r="I1412" s="1">
        <v>0</v>
      </c>
      <c r="J1412" s="1">
        <v>0</v>
      </c>
      <c r="K1412" s="1">
        <v>22</v>
      </c>
      <c r="L1412" s="1" t="s">
        <v>434</v>
      </c>
      <c r="M1412" s="1" t="s">
        <v>5639</v>
      </c>
      <c r="N1412" s="1" t="s">
        <v>129</v>
      </c>
      <c r="O1412" s="1" t="s">
        <v>5640</v>
      </c>
    </row>
    <row r="1413" spans="1:15" x14ac:dyDescent="0.4">
      <c r="A1413" s="1" t="s">
        <v>1751</v>
      </c>
      <c r="B1413" s="1" t="s">
        <v>1750</v>
      </c>
      <c r="C1413" s="1" t="s">
        <v>1754</v>
      </c>
      <c r="D1413" s="1" t="s">
        <v>1755</v>
      </c>
      <c r="E1413" s="1" t="s">
        <v>8019</v>
      </c>
      <c r="F1413" s="1" t="s">
        <v>17</v>
      </c>
      <c r="G1413" s="4" t="str">
        <f>"08041-9629"</f>
        <v>08041-9629</v>
      </c>
      <c r="H1413" s="1">
        <v>0</v>
      </c>
      <c r="I1413" s="1">
        <v>0</v>
      </c>
      <c r="J1413" s="1">
        <v>0</v>
      </c>
      <c r="K1413" s="1">
        <v>43</v>
      </c>
      <c r="L1413" s="1" t="s">
        <v>359</v>
      </c>
      <c r="M1413" s="1" t="s">
        <v>1752</v>
      </c>
      <c r="N1413" s="1" t="s">
        <v>91</v>
      </c>
      <c r="O1413" s="1" t="s">
        <v>1753</v>
      </c>
    </row>
    <row r="1414" spans="1:15" x14ac:dyDescent="0.4">
      <c r="A1414" s="1" t="s">
        <v>6348</v>
      </c>
      <c r="B1414" s="1" t="s">
        <v>6328</v>
      </c>
      <c r="C1414" s="1" t="s">
        <v>6350</v>
      </c>
      <c r="D1414" s="1" t="s">
        <v>6333</v>
      </c>
      <c r="E1414" s="1" t="s">
        <v>8028</v>
      </c>
      <c r="F1414" s="1" t="s">
        <v>17</v>
      </c>
      <c r="G1414" s="4" t="str">
        <f>"08701"</f>
        <v>08701</v>
      </c>
      <c r="H1414" s="1">
        <v>0</v>
      </c>
      <c r="I1414" s="1">
        <v>0</v>
      </c>
      <c r="J1414" s="1">
        <v>0</v>
      </c>
      <c r="K1414" s="1">
        <v>0</v>
      </c>
      <c r="L1414" s="1" t="s">
        <v>3209</v>
      </c>
      <c r="M1414" s="1" t="s">
        <v>971</v>
      </c>
      <c r="N1414" s="1" t="s">
        <v>13</v>
      </c>
      <c r="O1414" s="1" t="s">
        <v>6349</v>
      </c>
    </row>
    <row r="1415" spans="1:15" x14ac:dyDescent="0.4">
      <c r="A1415" s="1" t="s">
        <v>3532</v>
      </c>
      <c r="B1415" s="1" t="s">
        <v>3497</v>
      </c>
      <c r="C1415" s="1" t="s">
        <v>3534</v>
      </c>
      <c r="D1415" s="1" t="s">
        <v>3501</v>
      </c>
      <c r="E1415" s="1" t="s">
        <v>8024</v>
      </c>
      <c r="F1415" s="1" t="s">
        <v>17</v>
      </c>
      <c r="G1415" s="4" t="str">
        <f>"07052-2635"</f>
        <v>07052-2635</v>
      </c>
      <c r="H1415" s="1">
        <v>0</v>
      </c>
      <c r="I1415" s="1">
        <v>0</v>
      </c>
      <c r="J1415" s="1">
        <v>0</v>
      </c>
      <c r="K1415" s="1">
        <v>66</v>
      </c>
      <c r="L1415" s="1" t="s">
        <v>700</v>
      </c>
      <c r="M1415" s="1" t="s">
        <v>2620</v>
      </c>
      <c r="N1415" s="1" t="s">
        <v>13</v>
      </c>
      <c r="O1415" s="1" t="s">
        <v>3533</v>
      </c>
    </row>
    <row r="1416" spans="1:15" x14ac:dyDescent="0.4">
      <c r="A1416" s="1" t="s">
        <v>6471</v>
      </c>
      <c r="B1416" s="1" t="s">
        <v>6465</v>
      </c>
      <c r="C1416" s="1" t="s">
        <v>6469</v>
      </c>
      <c r="D1416" s="1" t="s">
        <v>6470</v>
      </c>
      <c r="E1416" s="1" t="s">
        <v>8028</v>
      </c>
      <c r="F1416" s="1" t="s">
        <v>17</v>
      </c>
      <c r="G1416" s="4" t="str">
        <f>"08050"</f>
        <v>08050</v>
      </c>
      <c r="H1416" s="1">
        <v>0</v>
      </c>
      <c r="I1416" s="1">
        <v>0</v>
      </c>
      <c r="J1416" s="1">
        <v>0</v>
      </c>
      <c r="K1416" s="1">
        <v>0</v>
      </c>
      <c r="L1416" s="1" t="s">
        <v>4771</v>
      </c>
      <c r="M1416" s="1" t="s">
        <v>6472</v>
      </c>
      <c r="N1416" s="1" t="s">
        <v>13</v>
      </c>
      <c r="O1416" s="1" t="s">
        <v>6473</v>
      </c>
    </row>
    <row r="1417" spans="1:15" x14ac:dyDescent="0.4">
      <c r="A1417" s="1" t="s">
        <v>3418</v>
      </c>
      <c r="B1417" s="1" t="s">
        <v>3391</v>
      </c>
      <c r="C1417" s="1" t="s">
        <v>3422</v>
      </c>
      <c r="D1417" s="1" t="s">
        <v>3423</v>
      </c>
      <c r="E1417" s="1" t="s">
        <v>8024</v>
      </c>
      <c r="F1417" s="1" t="s">
        <v>17</v>
      </c>
      <c r="G1417" s="4" t="str">
        <f>"07079"</f>
        <v>07079</v>
      </c>
      <c r="H1417" s="1">
        <v>0</v>
      </c>
      <c r="I1417" s="1">
        <v>0</v>
      </c>
      <c r="J1417" s="1">
        <v>0</v>
      </c>
      <c r="K1417" s="1">
        <v>0</v>
      </c>
      <c r="L1417" s="1" t="s">
        <v>3419</v>
      </c>
      <c r="M1417" s="1" t="s">
        <v>3420</v>
      </c>
      <c r="N1417" s="1" t="s">
        <v>13</v>
      </c>
      <c r="O1417" s="1" t="s">
        <v>3421</v>
      </c>
    </row>
    <row r="1418" spans="1:15" x14ac:dyDescent="0.4">
      <c r="A1418" s="1" t="s">
        <v>6090</v>
      </c>
      <c r="B1418" s="1" t="s">
        <v>6076</v>
      </c>
      <c r="C1418" s="1" t="s">
        <v>6093</v>
      </c>
      <c r="D1418" s="1" t="s">
        <v>6094</v>
      </c>
      <c r="E1418" s="1" t="s">
        <v>1503</v>
      </c>
      <c r="F1418" s="1" t="s">
        <v>17</v>
      </c>
      <c r="G1418" s="4" t="str">
        <f>"07440-1531"</f>
        <v>07440-1531</v>
      </c>
      <c r="H1418" s="1">
        <v>0</v>
      </c>
      <c r="I1418" s="1">
        <v>0</v>
      </c>
      <c r="J1418" s="1">
        <v>0</v>
      </c>
      <c r="K1418" s="1">
        <v>62</v>
      </c>
      <c r="L1418" s="1" t="s">
        <v>1408</v>
      </c>
      <c r="M1418" s="1" t="s">
        <v>6091</v>
      </c>
      <c r="N1418" s="1" t="s">
        <v>13</v>
      </c>
      <c r="O1418" s="1" t="s">
        <v>6092</v>
      </c>
    </row>
    <row r="1419" spans="1:15" x14ac:dyDescent="0.4">
      <c r="A1419" s="1" t="s">
        <v>2246</v>
      </c>
      <c r="B1419" s="1" t="s">
        <v>2245</v>
      </c>
      <c r="C1419" s="1" t="s">
        <v>2250</v>
      </c>
      <c r="D1419" s="1" t="s">
        <v>2251</v>
      </c>
      <c r="E1419" s="1" t="s">
        <v>1909</v>
      </c>
      <c r="F1419" s="1" t="s">
        <v>17</v>
      </c>
      <c r="G1419" s="4" t="str">
        <f>"08083-2175"</f>
        <v>08083-2175</v>
      </c>
      <c r="H1419" s="1">
        <v>0</v>
      </c>
      <c r="I1419" s="1">
        <v>0</v>
      </c>
      <c r="J1419" s="1">
        <v>0</v>
      </c>
      <c r="K1419" s="1">
        <v>0</v>
      </c>
      <c r="L1419" s="1" t="s">
        <v>2247</v>
      </c>
      <c r="M1419" s="1" t="s">
        <v>2248</v>
      </c>
      <c r="N1419" s="1" t="s">
        <v>13</v>
      </c>
      <c r="O1419" s="1" t="s">
        <v>2249</v>
      </c>
    </row>
    <row r="1420" spans="1:15" x14ac:dyDescent="0.4">
      <c r="A1420" s="1" t="s">
        <v>7930</v>
      </c>
      <c r="B1420" s="1" t="s">
        <v>2833</v>
      </c>
      <c r="C1420" s="1" t="s">
        <v>7932</v>
      </c>
      <c r="D1420" s="1" t="s">
        <v>7929</v>
      </c>
      <c r="E1420" s="1" t="s">
        <v>55</v>
      </c>
      <c r="F1420" s="1" t="s">
        <v>17</v>
      </c>
      <c r="G1420" s="4" t="str">
        <f>"08886-9756"</f>
        <v>08886-9756</v>
      </c>
      <c r="H1420" s="1">
        <v>0</v>
      </c>
      <c r="I1420" s="1">
        <v>0</v>
      </c>
      <c r="J1420" s="1">
        <v>0</v>
      </c>
      <c r="K1420" s="1">
        <v>0</v>
      </c>
      <c r="L1420" s="1" t="s">
        <v>2377</v>
      </c>
      <c r="M1420" s="1" t="s">
        <v>4536</v>
      </c>
      <c r="N1420" s="1" t="s">
        <v>13</v>
      </c>
      <c r="O1420" s="1" t="s">
        <v>7931</v>
      </c>
    </row>
    <row r="1421" spans="1:15" x14ac:dyDescent="0.4">
      <c r="A1421" s="1" t="s">
        <v>2379</v>
      </c>
      <c r="B1421" s="1" t="s">
        <v>2378</v>
      </c>
      <c r="C1421" s="1" t="s">
        <v>2382</v>
      </c>
      <c r="D1421" s="1" t="s">
        <v>2383</v>
      </c>
      <c r="E1421" s="1" t="s">
        <v>8021</v>
      </c>
      <c r="F1421" s="1" t="s">
        <v>17</v>
      </c>
      <c r="G1421" s="4" t="str">
        <f>"08247"</f>
        <v>08247</v>
      </c>
      <c r="H1421" s="1">
        <v>0</v>
      </c>
      <c r="I1421" s="1">
        <v>0</v>
      </c>
      <c r="J1421" s="1">
        <v>0</v>
      </c>
      <c r="K1421" s="1">
        <v>19</v>
      </c>
      <c r="L1421" s="1" t="s">
        <v>488</v>
      </c>
      <c r="M1421" s="1" t="s">
        <v>2380</v>
      </c>
      <c r="N1421" s="1" t="s">
        <v>91</v>
      </c>
      <c r="O1421" s="1" t="s">
        <v>2381</v>
      </c>
    </row>
    <row r="1422" spans="1:15" x14ac:dyDescent="0.4">
      <c r="A1422" s="1" t="s">
        <v>5667</v>
      </c>
      <c r="B1422" s="1" t="s">
        <v>5661</v>
      </c>
      <c r="C1422" s="1" t="s">
        <v>5670</v>
      </c>
      <c r="D1422" s="1" t="s">
        <v>5671</v>
      </c>
      <c r="E1422" s="1" t="s">
        <v>8027</v>
      </c>
      <c r="F1422" s="1" t="s">
        <v>17</v>
      </c>
      <c r="G1422" s="4" t="str">
        <f>"08501"</f>
        <v>08501</v>
      </c>
      <c r="H1422" s="1">
        <v>0</v>
      </c>
      <c r="I1422" s="1">
        <v>0</v>
      </c>
      <c r="J1422" s="1">
        <v>0</v>
      </c>
      <c r="K1422" s="1">
        <v>0</v>
      </c>
      <c r="L1422" s="1" t="s">
        <v>1320</v>
      </c>
      <c r="M1422" s="1" t="s">
        <v>5668</v>
      </c>
      <c r="N1422" s="1" t="s">
        <v>13</v>
      </c>
      <c r="O1422" s="1" t="s">
        <v>5669</v>
      </c>
    </row>
    <row r="1423" spans="1:15" x14ac:dyDescent="0.4">
      <c r="A1423" s="1" t="s">
        <v>4326</v>
      </c>
      <c r="B1423" s="1" t="s">
        <v>4321</v>
      </c>
      <c r="C1423" s="1" t="s">
        <v>4329</v>
      </c>
      <c r="D1423" s="1" t="s">
        <v>4183</v>
      </c>
      <c r="E1423" s="1" t="s">
        <v>8026</v>
      </c>
      <c r="F1423" s="1" t="s">
        <v>17</v>
      </c>
      <c r="G1423" s="4" t="str">
        <f>"08534"</f>
        <v>08534</v>
      </c>
      <c r="H1423" s="1">
        <v>0</v>
      </c>
      <c r="I1423" s="1">
        <v>0</v>
      </c>
      <c r="J1423" s="1">
        <v>0</v>
      </c>
      <c r="K1423" s="1">
        <v>59</v>
      </c>
      <c r="L1423" s="1" t="s">
        <v>43</v>
      </c>
      <c r="M1423" s="1" t="s">
        <v>4327</v>
      </c>
      <c r="N1423" s="1" t="s">
        <v>13</v>
      </c>
      <c r="O1423" s="1" t="s">
        <v>4328</v>
      </c>
    </row>
    <row r="1424" spans="1:15" x14ac:dyDescent="0.4">
      <c r="A1424" s="1" t="s">
        <v>4326</v>
      </c>
      <c r="B1424" s="1" t="s">
        <v>6118</v>
      </c>
      <c r="C1424" s="1" t="s">
        <v>6140</v>
      </c>
      <c r="D1424" s="1" t="s">
        <v>5931</v>
      </c>
      <c r="E1424" s="1" t="s">
        <v>8026</v>
      </c>
      <c r="F1424" s="1" t="s">
        <v>17</v>
      </c>
      <c r="G1424" s="4" t="str">
        <f>"07866"</f>
        <v>07866</v>
      </c>
      <c r="H1424" s="1">
        <v>0</v>
      </c>
      <c r="I1424" s="1">
        <v>0</v>
      </c>
      <c r="J1424" s="1">
        <v>0</v>
      </c>
      <c r="K1424" s="1">
        <v>59</v>
      </c>
      <c r="L1424" s="1" t="s">
        <v>1038</v>
      </c>
      <c r="M1424" s="1" t="s">
        <v>1060</v>
      </c>
      <c r="N1424" s="1" t="s">
        <v>13</v>
      </c>
      <c r="O1424" s="1" t="s">
        <v>6139</v>
      </c>
    </row>
    <row r="1425" spans="1:15" x14ac:dyDescent="0.4">
      <c r="A1425" s="1" t="s">
        <v>7084</v>
      </c>
      <c r="B1425" s="1" t="s">
        <v>7078</v>
      </c>
      <c r="C1425" s="1" t="s">
        <v>7087</v>
      </c>
      <c r="D1425" s="1" t="s">
        <v>7083</v>
      </c>
      <c r="E1425" s="1" t="s">
        <v>2471</v>
      </c>
      <c r="F1425" s="1" t="s">
        <v>17</v>
      </c>
      <c r="G1425" s="4" t="str">
        <f>"08876"</f>
        <v>08876</v>
      </c>
      <c r="H1425" s="1">
        <v>0</v>
      </c>
      <c r="I1425" s="1">
        <v>0</v>
      </c>
      <c r="J1425" s="1">
        <v>0</v>
      </c>
      <c r="K1425" s="1">
        <v>0</v>
      </c>
      <c r="L1425" s="1" t="s">
        <v>2707</v>
      </c>
      <c r="M1425" s="1" t="s">
        <v>7085</v>
      </c>
      <c r="N1425" s="1" t="s">
        <v>13</v>
      </c>
      <c r="O1425" s="1" t="s">
        <v>7086</v>
      </c>
    </row>
    <row r="1426" spans="1:15" x14ac:dyDescent="0.4">
      <c r="A1426" s="1" t="s">
        <v>7084</v>
      </c>
      <c r="B1426" s="1" t="s">
        <v>7205</v>
      </c>
      <c r="C1426" s="1" t="s">
        <v>7221</v>
      </c>
      <c r="D1426" s="1" t="s">
        <v>7206</v>
      </c>
      <c r="E1426" s="1" t="s">
        <v>2471</v>
      </c>
      <c r="F1426" s="1" t="s">
        <v>17</v>
      </c>
      <c r="G1426" s="4" t="str">
        <f>"07060-4005"</f>
        <v>07060-4005</v>
      </c>
      <c r="H1426" s="1">
        <v>0</v>
      </c>
      <c r="I1426" s="1">
        <v>0</v>
      </c>
      <c r="J1426" s="1">
        <v>0</v>
      </c>
      <c r="K1426" s="1">
        <v>0</v>
      </c>
      <c r="L1426" s="1" t="s">
        <v>7218</v>
      </c>
      <c r="M1426" s="1" t="s">
        <v>7219</v>
      </c>
      <c r="N1426" s="1" t="s">
        <v>13</v>
      </c>
      <c r="O1426" s="1" t="s">
        <v>7220</v>
      </c>
    </row>
    <row r="1427" spans="1:15" x14ac:dyDescent="0.4">
      <c r="A1427" s="1" t="s">
        <v>970</v>
      </c>
      <c r="B1427" s="1" t="s">
        <v>954</v>
      </c>
      <c r="C1427" s="1" t="s">
        <v>973</v>
      </c>
      <c r="D1427" s="1" t="s">
        <v>314</v>
      </c>
      <c r="E1427" s="1" t="s">
        <v>8018</v>
      </c>
      <c r="F1427" s="1" t="s">
        <v>17</v>
      </c>
      <c r="G1427" s="4" t="str">
        <f>"07652-4131"</f>
        <v>07652-4131</v>
      </c>
      <c r="H1427" s="1">
        <v>0</v>
      </c>
      <c r="I1427" s="1">
        <v>0</v>
      </c>
      <c r="J1427" s="1">
        <v>0</v>
      </c>
      <c r="K1427" s="1">
        <v>49</v>
      </c>
      <c r="L1427" s="1" t="s">
        <v>40</v>
      </c>
      <c r="M1427" s="1" t="s">
        <v>971</v>
      </c>
      <c r="N1427" s="1" t="s">
        <v>13</v>
      </c>
      <c r="O1427" s="1" t="s">
        <v>972</v>
      </c>
    </row>
    <row r="1428" spans="1:15" x14ac:dyDescent="0.4">
      <c r="A1428" s="1" t="s">
        <v>5846</v>
      </c>
      <c r="B1428" s="1" t="s">
        <v>5832</v>
      </c>
      <c r="C1428" s="1" t="s">
        <v>5849</v>
      </c>
      <c r="D1428" s="1" t="s">
        <v>5837</v>
      </c>
      <c r="E1428" s="1" t="s">
        <v>1503</v>
      </c>
      <c r="F1428" s="1" t="s">
        <v>17</v>
      </c>
      <c r="G1428" s="4" t="str">
        <f>"07405"</f>
        <v>07405</v>
      </c>
      <c r="H1428" s="1">
        <v>0</v>
      </c>
      <c r="I1428" s="1">
        <v>0</v>
      </c>
      <c r="J1428" s="1">
        <v>0</v>
      </c>
      <c r="K1428" s="1">
        <v>0</v>
      </c>
      <c r="L1428" s="1" t="s">
        <v>2905</v>
      </c>
      <c r="M1428" s="1" t="s">
        <v>5847</v>
      </c>
      <c r="N1428" s="1" t="s">
        <v>13</v>
      </c>
      <c r="O1428" s="1" t="s">
        <v>5848</v>
      </c>
    </row>
    <row r="1429" spans="1:15" x14ac:dyDescent="0.4">
      <c r="A1429" s="1" t="s">
        <v>2109</v>
      </c>
      <c r="B1429" s="1" t="s">
        <v>2099</v>
      </c>
      <c r="C1429" s="1" t="s">
        <v>2110</v>
      </c>
      <c r="D1429" s="1" t="s">
        <v>1831</v>
      </c>
      <c r="E1429" s="1" t="s">
        <v>1909</v>
      </c>
      <c r="F1429" s="1" t="s">
        <v>17</v>
      </c>
      <c r="G1429" s="4" t="str">
        <f>"08033"</f>
        <v>08033</v>
      </c>
      <c r="H1429" s="1">
        <v>0</v>
      </c>
      <c r="I1429" s="1">
        <v>0</v>
      </c>
      <c r="J1429" s="1">
        <v>0</v>
      </c>
      <c r="K1429" s="1">
        <v>24</v>
      </c>
      <c r="L1429" s="1" t="s">
        <v>199</v>
      </c>
      <c r="M1429" s="1" t="s">
        <v>2101</v>
      </c>
      <c r="N1429" s="1" t="s">
        <v>13</v>
      </c>
      <c r="O1429" s="1" t="s">
        <v>2102</v>
      </c>
    </row>
    <row r="1430" spans="1:15" x14ac:dyDescent="0.4">
      <c r="A1430" s="1" t="s">
        <v>2111</v>
      </c>
      <c r="B1430" s="1" t="s">
        <v>2099</v>
      </c>
      <c r="C1430" s="1" t="s">
        <v>2114</v>
      </c>
      <c r="D1430" s="1" t="s">
        <v>2108</v>
      </c>
      <c r="E1430" s="1" t="s">
        <v>1909</v>
      </c>
      <c r="F1430" s="1" t="s">
        <v>17</v>
      </c>
      <c r="G1430" s="4" t="str">
        <f>"08108"</f>
        <v>08108</v>
      </c>
      <c r="H1430" s="1">
        <v>0</v>
      </c>
      <c r="I1430" s="1">
        <v>0</v>
      </c>
      <c r="J1430" s="1">
        <v>0</v>
      </c>
      <c r="K1430" s="1">
        <v>35</v>
      </c>
      <c r="L1430" s="1" t="s">
        <v>1097</v>
      </c>
      <c r="M1430" s="1" t="s">
        <v>2112</v>
      </c>
      <c r="N1430" s="1" t="s">
        <v>13</v>
      </c>
      <c r="O1430" s="1" t="s">
        <v>2113</v>
      </c>
    </row>
    <row r="1431" spans="1:15" x14ac:dyDescent="0.4">
      <c r="A1431" s="1" t="s">
        <v>6808</v>
      </c>
      <c r="B1431" s="1" t="s">
        <v>6692</v>
      </c>
      <c r="C1431" s="1" t="s">
        <v>6809</v>
      </c>
      <c r="D1431" s="1" t="s">
        <v>2460</v>
      </c>
      <c r="E1431" s="1" t="s">
        <v>2670</v>
      </c>
      <c r="F1431" s="1" t="s">
        <v>17</v>
      </c>
      <c r="G1431" s="4" t="str">
        <f>"07504"</f>
        <v>07504</v>
      </c>
      <c r="H1431" s="1">
        <v>0</v>
      </c>
      <c r="I1431" s="1">
        <v>0</v>
      </c>
      <c r="J1431" s="1">
        <v>0</v>
      </c>
      <c r="K1431" s="1">
        <v>0</v>
      </c>
      <c r="L1431" s="1" t="s">
        <v>6741</v>
      </c>
      <c r="M1431" s="1" t="s">
        <v>6742</v>
      </c>
      <c r="N1431" s="1" t="s">
        <v>13</v>
      </c>
      <c r="O1431" s="1" t="s">
        <v>6743</v>
      </c>
    </row>
    <row r="1432" spans="1:15" x14ac:dyDescent="0.4">
      <c r="A1432" s="1" t="s">
        <v>7787</v>
      </c>
      <c r="B1432" s="1" t="s">
        <v>7766</v>
      </c>
      <c r="C1432" s="1" t="s">
        <v>7790</v>
      </c>
      <c r="D1432" s="1" t="s">
        <v>7771</v>
      </c>
      <c r="E1432" s="1" t="s">
        <v>7833</v>
      </c>
      <c r="F1432" s="1" t="s">
        <v>17</v>
      </c>
      <c r="G1432" s="4" t="str">
        <f>"07901-4703"</f>
        <v>07901-4703</v>
      </c>
      <c r="H1432" s="1">
        <v>0</v>
      </c>
      <c r="I1432" s="1">
        <v>0</v>
      </c>
      <c r="J1432" s="1">
        <v>0</v>
      </c>
      <c r="K1432" s="1">
        <v>0</v>
      </c>
      <c r="L1432" s="1" t="s">
        <v>1464</v>
      </c>
      <c r="M1432" s="1" t="s">
        <v>7788</v>
      </c>
      <c r="N1432" s="1" t="s">
        <v>13</v>
      </c>
      <c r="O1432" s="1" t="s">
        <v>7789</v>
      </c>
    </row>
    <row r="1433" spans="1:15" x14ac:dyDescent="0.4">
      <c r="A1433" s="1" t="s">
        <v>4312</v>
      </c>
      <c r="B1433" s="1" t="s">
        <v>4235</v>
      </c>
      <c r="C1433" s="1" t="s">
        <v>4316</v>
      </c>
      <c r="D1433" s="1" t="s">
        <v>4239</v>
      </c>
      <c r="E1433" s="1" t="s">
        <v>8026</v>
      </c>
      <c r="F1433" s="1" t="s">
        <v>17</v>
      </c>
      <c r="G1433" s="4" t="str">
        <f>"08620-1622"</f>
        <v>08620-1622</v>
      </c>
      <c r="H1433" s="1">
        <v>0</v>
      </c>
      <c r="I1433" s="1">
        <v>0</v>
      </c>
      <c r="J1433" s="1">
        <v>0</v>
      </c>
      <c r="K1433" s="1">
        <v>46</v>
      </c>
      <c r="L1433" s="1" t="s">
        <v>4313</v>
      </c>
      <c r="M1433" s="1" t="s">
        <v>4314</v>
      </c>
      <c r="N1433" s="1" t="s">
        <v>13</v>
      </c>
      <c r="O1433" s="1" t="s">
        <v>4315</v>
      </c>
    </row>
    <row r="1434" spans="1:15" x14ac:dyDescent="0.4">
      <c r="A1434" s="1" t="s">
        <v>7174</v>
      </c>
      <c r="B1434" s="1" t="s">
        <v>7154</v>
      </c>
      <c r="C1434" s="1" t="s">
        <v>7176</v>
      </c>
      <c r="D1434" s="1" t="s">
        <v>7158</v>
      </c>
      <c r="E1434" s="1" t="s">
        <v>2471</v>
      </c>
      <c r="F1434" s="1" t="s">
        <v>17</v>
      </c>
      <c r="G1434" s="4" t="str">
        <f>"08844"</f>
        <v>08844</v>
      </c>
      <c r="H1434" s="1">
        <v>0</v>
      </c>
      <c r="I1434" s="1">
        <v>0</v>
      </c>
      <c r="J1434" s="1">
        <v>78</v>
      </c>
      <c r="K1434" s="1">
        <v>0</v>
      </c>
      <c r="L1434" s="1" t="s">
        <v>2137</v>
      </c>
      <c r="M1434" s="1" t="s">
        <v>1874</v>
      </c>
      <c r="N1434" s="1" t="s">
        <v>13</v>
      </c>
      <c r="O1434" s="1" t="s">
        <v>7175</v>
      </c>
    </row>
    <row r="1435" spans="1:15" x14ac:dyDescent="0.4">
      <c r="A1435" s="1" t="s">
        <v>7369</v>
      </c>
      <c r="B1435" s="1" t="s">
        <v>7368</v>
      </c>
      <c r="C1435" s="1" t="s">
        <v>7373</v>
      </c>
      <c r="D1435" s="1" t="s">
        <v>7355</v>
      </c>
      <c r="E1435" s="1" t="s">
        <v>8030</v>
      </c>
      <c r="F1435" s="1" t="s">
        <v>17</v>
      </c>
      <c r="G1435" s="4" t="str">
        <f>"07871"</f>
        <v>07871</v>
      </c>
      <c r="H1435" s="1">
        <v>0</v>
      </c>
      <c r="I1435" s="1">
        <v>0</v>
      </c>
      <c r="J1435" s="1">
        <v>0</v>
      </c>
      <c r="K1435" s="1">
        <v>0</v>
      </c>
      <c r="L1435" s="1" t="s">
        <v>7370</v>
      </c>
      <c r="M1435" s="1" t="s">
        <v>7371</v>
      </c>
      <c r="N1435" s="1" t="s">
        <v>13</v>
      </c>
      <c r="O1435" s="1" t="s">
        <v>7372</v>
      </c>
    </row>
    <row r="1436" spans="1:15" x14ac:dyDescent="0.4">
      <c r="A1436" s="1" t="s">
        <v>2738</v>
      </c>
      <c r="B1436" s="1" t="s">
        <v>2738</v>
      </c>
      <c r="C1436" s="1" t="s">
        <v>2740</v>
      </c>
      <c r="D1436" s="1" t="s">
        <v>2741</v>
      </c>
      <c r="E1436" s="1" t="s">
        <v>8022</v>
      </c>
      <c r="F1436" s="1" t="s">
        <v>17</v>
      </c>
      <c r="G1436" s="4" t="str">
        <f>"07871"</f>
        <v>07871</v>
      </c>
      <c r="H1436" s="1">
        <v>0</v>
      </c>
      <c r="I1436" s="1">
        <v>0</v>
      </c>
      <c r="J1436" s="1">
        <v>0</v>
      </c>
      <c r="K1436" s="1">
        <v>0</v>
      </c>
      <c r="L1436" s="1" t="s">
        <v>158</v>
      </c>
      <c r="M1436" s="1" t="s">
        <v>737</v>
      </c>
      <c r="N1436" s="1" t="s">
        <v>13</v>
      </c>
      <c r="O1436" s="1" t="s">
        <v>2739</v>
      </c>
    </row>
    <row r="1437" spans="1:15" x14ac:dyDescent="0.4">
      <c r="A1437" s="1" t="s">
        <v>7375</v>
      </c>
      <c r="B1437" s="1" t="s">
        <v>7374</v>
      </c>
      <c r="C1437" s="1" t="s">
        <v>7379</v>
      </c>
      <c r="D1437" s="1" t="s">
        <v>2737</v>
      </c>
      <c r="E1437" s="1" t="s">
        <v>8030</v>
      </c>
      <c r="F1437" s="1" t="s">
        <v>17</v>
      </c>
      <c r="G1437" s="4" t="str">
        <f>"07461"</f>
        <v>07461</v>
      </c>
      <c r="H1437" s="1">
        <v>0</v>
      </c>
      <c r="I1437" s="1">
        <v>0</v>
      </c>
      <c r="J1437" s="1">
        <v>0</v>
      </c>
      <c r="K1437" s="1">
        <v>0</v>
      </c>
      <c r="L1437" s="1" t="s">
        <v>7376</v>
      </c>
      <c r="M1437" s="1" t="s">
        <v>7377</v>
      </c>
      <c r="N1437" s="1" t="s">
        <v>13</v>
      </c>
      <c r="O1437" s="1" t="s">
        <v>7378</v>
      </c>
    </row>
    <row r="1438" spans="1:15" x14ac:dyDescent="0.4">
      <c r="A1438" s="1" t="s">
        <v>5644</v>
      </c>
      <c r="B1438" s="1" t="s">
        <v>5643</v>
      </c>
      <c r="C1438" s="1" t="s">
        <v>5647</v>
      </c>
      <c r="D1438" s="1" t="s">
        <v>5576</v>
      </c>
      <c r="E1438" s="1" t="s">
        <v>8027</v>
      </c>
      <c r="F1438" s="1" t="s">
        <v>17</v>
      </c>
      <c r="G1438" s="4" t="str">
        <f>"07724-2729"</f>
        <v>07724-2729</v>
      </c>
      <c r="H1438" s="1">
        <v>0</v>
      </c>
      <c r="I1438" s="1">
        <v>0</v>
      </c>
      <c r="J1438" s="1">
        <v>0</v>
      </c>
      <c r="K1438" s="1">
        <v>0</v>
      </c>
      <c r="L1438" s="1" t="s">
        <v>18</v>
      </c>
      <c r="M1438" s="1" t="s">
        <v>5645</v>
      </c>
      <c r="N1438" s="1" t="s">
        <v>13</v>
      </c>
      <c r="O1438" s="1" t="s">
        <v>5646</v>
      </c>
    </row>
    <row r="1439" spans="1:15" x14ac:dyDescent="0.4">
      <c r="A1439" s="1" t="s">
        <v>1631</v>
      </c>
      <c r="B1439" s="1" t="s">
        <v>1615</v>
      </c>
      <c r="C1439" s="1" t="s">
        <v>1635</v>
      </c>
      <c r="D1439" s="1" t="s">
        <v>1620</v>
      </c>
      <c r="E1439" s="1" t="s">
        <v>8019</v>
      </c>
      <c r="F1439" s="1" t="s">
        <v>17</v>
      </c>
      <c r="G1439" s="4" t="str">
        <f>"08054-9523"</f>
        <v>08054-9523</v>
      </c>
      <c r="H1439" s="1">
        <v>0</v>
      </c>
      <c r="I1439" s="1">
        <v>0</v>
      </c>
      <c r="J1439" s="1">
        <v>0</v>
      </c>
      <c r="K1439" s="1">
        <v>0</v>
      </c>
      <c r="L1439" s="1" t="s">
        <v>1632</v>
      </c>
      <c r="M1439" s="1" t="s">
        <v>1633</v>
      </c>
      <c r="N1439" s="1" t="s">
        <v>13</v>
      </c>
      <c r="O1439" s="1" t="s">
        <v>1634</v>
      </c>
    </row>
    <row r="1440" spans="1:15" x14ac:dyDescent="0.4">
      <c r="A1440" s="1" t="s">
        <v>7870</v>
      </c>
      <c r="B1440" s="1" t="s">
        <v>7862</v>
      </c>
      <c r="C1440" s="1" t="s">
        <v>7873</v>
      </c>
      <c r="D1440" s="1" t="s">
        <v>7828</v>
      </c>
      <c r="E1440" s="1" t="s">
        <v>7833</v>
      </c>
      <c r="F1440" s="1" t="s">
        <v>17</v>
      </c>
      <c r="G1440" s="4" t="str">
        <f>"07090-3519"</f>
        <v>07090-3519</v>
      </c>
      <c r="H1440" s="1">
        <v>0</v>
      </c>
      <c r="I1440" s="1">
        <v>0</v>
      </c>
      <c r="J1440" s="1">
        <v>0</v>
      </c>
      <c r="K1440" s="1">
        <v>0</v>
      </c>
      <c r="L1440" s="1" t="s">
        <v>128</v>
      </c>
      <c r="M1440" s="1" t="s">
        <v>7871</v>
      </c>
      <c r="N1440" s="1" t="s">
        <v>13</v>
      </c>
      <c r="O1440" s="1" t="s">
        <v>7872</v>
      </c>
    </row>
    <row r="1441" spans="1:15" x14ac:dyDescent="0.4">
      <c r="A1441" s="1" t="s">
        <v>5330</v>
      </c>
      <c r="B1441" s="1" t="s">
        <v>5297</v>
      </c>
      <c r="C1441" s="1" t="s">
        <v>5333</v>
      </c>
      <c r="D1441" s="1" t="s">
        <v>5301</v>
      </c>
      <c r="E1441" s="1" t="s">
        <v>8027</v>
      </c>
      <c r="F1441" s="1" t="s">
        <v>17</v>
      </c>
      <c r="G1441" s="4" t="str">
        <f>"07731-2147"</f>
        <v>07731-2147</v>
      </c>
      <c r="H1441" s="1">
        <v>0</v>
      </c>
      <c r="I1441" s="1">
        <v>0</v>
      </c>
      <c r="J1441" s="1">
        <v>0</v>
      </c>
      <c r="K1441" s="1">
        <v>57</v>
      </c>
      <c r="L1441" s="1" t="s">
        <v>1177</v>
      </c>
      <c r="M1441" s="1" t="s">
        <v>5331</v>
      </c>
      <c r="N1441" s="1" t="s">
        <v>13</v>
      </c>
      <c r="O1441" s="1" t="s">
        <v>5332</v>
      </c>
    </row>
    <row r="1442" spans="1:15" x14ac:dyDescent="0.4">
      <c r="A1442" s="1" t="s">
        <v>5411</v>
      </c>
      <c r="B1442" s="1" t="s">
        <v>5389</v>
      </c>
      <c r="C1442" s="1" t="s">
        <v>5414</v>
      </c>
      <c r="D1442" s="1" t="s">
        <v>5398</v>
      </c>
      <c r="E1442" s="1" t="s">
        <v>8027</v>
      </c>
      <c r="F1442" s="1" t="s">
        <v>17</v>
      </c>
      <c r="G1442" s="4" t="str">
        <f>"07726-1599"</f>
        <v>07726-1599</v>
      </c>
      <c r="H1442" s="1">
        <v>0</v>
      </c>
      <c r="I1442" s="1">
        <v>0</v>
      </c>
      <c r="J1442" s="1">
        <v>0</v>
      </c>
      <c r="K1442" s="1">
        <v>66</v>
      </c>
      <c r="L1442" s="1" t="s">
        <v>4589</v>
      </c>
      <c r="M1442" s="1" t="s">
        <v>5412</v>
      </c>
      <c r="N1442" s="1" t="s">
        <v>13</v>
      </c>
      <c r="O1442" s="1" t="s">
        <v>5413</v>
      </c>
    </row>
    <row r="1443" spans="1:15" x14ac:dyDescent="0.4">
      <c r="A1443" s="1" t="s">
        <v>2742</v>
      </c>
      <c r="B1443" s="1" t="s">
        <v>2742</v>
      </c>
      <c r="C1443" s="1" t="s">
        <v>2152</v>
      </c>
      <c r="D1443" s="1" t="s">
        <v>2526</v>
      </c>
      <c r="E1443" s="1" t="s">
        <v>8022</v>
      </c>
      <c r="F1443" s="1" t="s">
        <v>17</v>
      </c>
      <c r="G1443" s="4" t="str">
        <f>"07102"</f>
        <v>07102</v>
      </c>
      <c r="H1443" s="1">
        <v>0</v>
      </c>
      <c r="I1443" s="1">
        <v>0</v>
      </c>
      <c r="J1443" s="1">
        <v>0</v>
      </c>
      <c r="K1443" s="1">
        <v>425</v>
      </c>
      <c r="L1443" s="1" t="s">
        <v>42</v>
      </c>
      <c r="M1443" s="1" t="s">
        <v>2036</v>
      </c>
      <c r="N1443" s="1" t="s">
        <v>91</v>
      </c>
      <c r="O1443" s="1" t="s">
        <v>2150</v>
      </c>
    </row>
    <row r="1444" spans="1:15" x14ac:dyDescent="0.4">
      <c r="A1444" s="1" t="s">
        <v>2744</v>
      </c>
      <c r="B1444" s="1" t="s">
        <v>2743</v>
      </c>
      <c r="C1444" s="1" t="s">
        <v>2748</v>
      </c>
      <c r="D1444" s="1" t="s">
        <v>1195</v>
      </c>
      <c r="E1444" s="1" t="s">
        <v>8022</v>
      </c>
      <c r="F1444" s="1" t="s">
        <v>17</v>
      </c>
      <c r="G1444" s="4" t="str">
        <f>"07666"</f>
        <v>07666</v>
      </c>
      <c r="H1444" s="1">
        <v>0</v>
      </c>
      <c r="I1444" s="1">
        <v>0</v>
      </c>
      <c r="J1444" s="1">
        <v>0</v>
      </c>
      <c r="K1444" s="1">
        <v>45</v>
      </c>
      <c r="L1444" s="1" t="s">
        <v>2745</v>
      </c>
      <c r="M1444" s="1" t="s">
        <v>2746</v>
      </c>
      <c r="N1444" s="1" t="s">
        <v>1924</v>
      </c>
      <c r="O1444" s="1" t="s">
        <v>2747</v>
      </c>
    </row>
    <row r="1445" spans="1:15" x14ac:dyDescent="0.4">
      <c r="A1445" s="1" t="s">
        <v>1209</v>
      </c>
      <c r="B1445" s="1" t="s">
        <v>1191</v>
      </c>
      <c r="C1445" s="1" t="s">
        <v>1213</v>
      </c>
      <c r="D1445" s="1" t="s">
        <v>1195</v>
      </c>
      <c r="E1445" s="1" t="s">
        <v>8018</v>
      </c>
      <c r="F1445" s="1" t="s">
        <v>17</v>
      </c>
      <c r="G1445" s="4" t="str">
        <f>"07666-4713"</f>
        <v>07666-4713</v>
      </c>
      <c r="H1445" s="1">
        <v>0</v>
      </c>
      <c r="I1445" s="1">
        <v>0</v>
      </c>
      <c r="J1445" s="1">
        <v>0</v>
      </c>
      <c r="K1445" s="1">
        <v>0</v>
      </c>
      <c r="L1445" s="1" t="s">
        <v>1210</v>
      </c>
      <c r="M1445" s="1" t="s">
        <v>1211</v>
      </c>
      <c r="N1445" s="1" t="s">
        <v>13</v>
      </c>
      <c r="O1445" s="1" t="s">
        <v>1212</v>
      </c>
    </row>
    <row r="1446" spans="1:15" x14ac:dyDescent="0.4">
      <c r="A1446" s="1" t="s">
        <v>3336</v>
      </c>
      <c r="B1446" s="1" t="s">
        <v>3249</v>
      </c>
      <c r="C1446" s="1" t="s">
        <v>3338</v>
      </c>
      <c r="D1446" s="1" t="s">
        <v>2526</v>
      </c>
      <c r="E1446" s="1" t="s">
        <v>8024</v>
      </c>
      <c r="F1446" s="1" t="s">
        <v>17</v>
      </c>
      <c r="G1446" s="4" t="str">
        <f>"07102"</f>
        <v>07102</v>
      </c>
      <c r="H1446" s="1">
        <v>0</v>
      </c>
      <c r="I1446" s="1">
        <v>0</v>
      </c>
      <c r="J1446" s="1">
        <v>0</v>
      </c>
      <c r="K1446" s="1">
        <v>0</v>
      </c>
      <c r="L1446" s="1" t="s">
        <v>3289</v>
      </c>
      <c r="M1446" s="1" t="s">
        <v>2808</v>
      </c>
      <c r="N1446" s="1" t="s">
        <v>13</v>
      </c>
      <c r="O1446" s="1" t="s">
        <v>3337</v>
      </c>
    </row>
    <row r="1447" spans="1:15" x14ac:dyDescent="0.4">
      <c r="A1447" s="1" t="s">
        <v>1234</v>
      </c>
      <c r="B1447" s="1" t="s">
        <v>1219</v>
      </c>
      <c r="C1447" s="1" t="s">
        <v>1236</v>
      </c>
      <c r="D1447" s="1" t="s">
        <v>1224</v>
      </c>
      <c r="E1447" s="1" t="s">
        <v>8018</v>
      </c>
      <c r="F1447" s="1" t="s">
        <v>17</v>
      </c>
      <c r="G1447" s="4" t="str">
        <f>"07670"</f>
        <v>07670</v>
      </c>
      <c r="H1447" s="1">
        <v>0</v>
      </c>
      <c r="I1447" s="1">
        <v>0</v>
      </c>
      <c r="J1447" s="1">
        <v>0</v>
      </c>
      <c r="K1447" s="1">
        <v>0</v>
      </c>
      <c r="L1447" s="1" t="s">
        <v>34</v>
      </c>
      <c r="M1447" s="1" t="s">
        <v>231</v>
      </c>
      <c r="N1447" s="1" t="s">
        <v>13</v>
      </c>
      <c r="O1447" s="1" t="s">
        <v>1235</v>
      </c>
    </row>
    <row r="1448" spans="1:15" x14ac:dyDescent="0.4">
      <c r="A1448" s="1" t="s">
        <v>1237</v>
      </c>
      <c r="B1448" s="1" t="s">
        <v>1219</v>
      </c>
      <c r="C1448" s="1" t="s">
        <v>1240</v>
      </c>
      <c r="D1448" s="1" t="s">
        <v>1224</v>
      </c>
      <c r="E1448" s="1" t="s">
        <v>8018</v>
      </c>
      <c r="F1448" s="1" t="s">
        <v>17</v>
      </c>
      <c r="G1448" s="4" t="str">
        <f>"07670"</f>
        <v>07670</v>
      </c>
      <c r="H1448" s="1">
        <v>0</v>
      </c>
      <c r="I1448" s="1">
        <v>0</v>
      </c>
      <c r="J1448" s="1">
        <v>0</v>
      </c>
      <c r="K1448" s="1">
        <v>0</v>
      </c>
      <c r="L1448" s="1" t="s">
        <v>434</v>
      </c>
      <c r="M1448" s="1" t="s">
        <v>1238</v>
      </c>
      <c r="N1448" s="1" t="s">
        <v>13</v>
      </c>
      <c r="O1448" s="1" t="s">
        <v>1239</v>
      </c>
    </row>
    <row r="1449" spans="1:15" x14ac:dyDescent="0.4">
      <c r="A1449" s="1" t="s">
        <v>427</v>
      </c>
      <c r="B1449" s="1" t="s">
        <v>419</v>
      </c>
      <c r="C1449" s="1" t="s">
        <v>431</v>
      </c>
      <c r="D1449" s="1" t="s">
        <v>424</v>
      </c>
      <c r="E1449" s="1" t="s">
        <v>8018</v>
      </c>
      <c r="F1449" s="1" t="s">
        <v>17</v>
      </c>
      <c r="G1449" s="4" t="str">
        <f>"07624-1809"</f>
        <v>07624-1809</v>
      </c>
      <c r="H1449" s="1">
        <v>0</v>
      </c>
      <c r="I1449" s="1">
        <v>0</v>
      </c>
      <c r="J1449" s="1">
        <v>0</v>
      </c>
      <c r="K1449" s="1">
        <v>0</v>
      </c>
      <c r="L1449" s="1" t="s">
        <v>428</v>
      </c>
      <c r="M1449" s="1" t="s">
        <v>429</v>
      </c>
      <c r="N1449" s="1" t="s">
        <v>13</v>
      </c>
      <c r="O1449" s="1" t="s">
        <v>430</v>
      </c>
    </row>
    <row r="1450" spans="1:15" x14ac:dyDescent="0.4">
      <c r="A1450" s="1" t="s">
        <v>7748</v>
      </c>
      <c r="B1450" s="1" t="s">
        <v>7724</v>
      </c>
      <c r="C1450" s="1" t="s">
        <v>7750</v>
      </c>
      <c r="D1450" s="1" t="s">
        <v>7728</v>
      </c>
      <c r="E1450" s="1" t="s">
        <v>7833</v>
      </c>
      <c r="F1450" s="1" t="s">
        <v>17</v>
      </c>
      <c r="G1450" s="4" t="str">
        <f>"07076"</f>
        <v>07076</v>
      </c>
      <c r="H1450" s="1">
        <v>0</v>
      </c>
      <c r="I1450" s="1">
        <v>0</v>
      </c>
      <c r="J1450" s="1">
        <v>0</v>
      </c>
      <c r="K1450" s="1">
        <v>0</v>
      </c>
      <c r="L1450" s="1" t="s">
        <v>11</v>
      </c>
      <c r="M1450" s="1" t="s">
        <v>2259</v>
      </c>
      <c r="N1450" s="1" t="s">
        <v>13</v>
      </c>
      <c r="O1450" s="1" t="s">
        <v>7749</v>
      </c>
    </row>
    <row r="1451" spans="1:15" x14ac:dyDescent="0.4">
      <c r="A1451" s="1" t="s">
        <v>44</v>
      </c>
      <c r="B1451" s="1" t="s">
        <v>21</v>
      </c>
      <c r="C1451" s="1" t="s">
        <v>48</v>
      </c>
      <c r="D1451" s="1" t="s">
        <v>27</v>
      </c>
      <c r="E1451" s="1" t="s">
        <v>8017</v>
      </c>
      <c r="F1451" s="1" t="s">
        <v>17</v>
      </c>
      <c r="G1451" s="4" t="str">
        <f>"08401-3901"</f>
        <v>08401-3901</v>
      </c>
      <c r="H1451" s="1">
        <v>0</v>
      </c>
      <c r="I1451" s="1">
        <v>0</v>
      </c>
      <c r="J1451" s="1">
        <v>0</v>
      </c>
      <c r="K1451" s="1">
        <v>45</v>
      </c>
      <c r="L1451" s="1" t="s">
        <v>45</v>
      </c>
      <c r="M1451" s="1" t="s">
        <v>46</v>
      </c>
      <c r="N1451" s="1" t="s">
        <v>13</v>
      </c>
      <c r="O1451" s="1" t="s">
        <v>47</v>
      </c>
    </row>
    <row r="1452" spans="1:15" x14ac:dyDescent="0.4">
      <c r="A1452" s="1" t="s">
        <v>2751</v>
      </c>
      <c r="B1452" s="1" t="s">
        <v>2750</v>
      </c>
      <c r="C1452" s="1" t="s">
        <v>2754</v>
      </c>
      <c r="D1452" s="1" t="s">
        <v>2488</v>
      </c>
      <c r="E1452" s="1" t="s">
        <v>8022</v>
      </c>
      <c r="F1452" s="1" t="s">
        <v>17</v>
      </c>
      <c r="G1452" s="4" t="str">
        <f>"07060"</f>
        <v>07060</v>
      </c>
      <c r="H1452" s="1">
        <v>0</v>
      </c>
      <c r="I1452" s="1">
        <v>0</v>
      </c>
      <c r="J1452" s="1">
        <v>0</v>
      </c>
      <c r="K1452" s="1">
        <v>0</v>
      </c>
      <c r="L1452" s="1" t="s">
        <v>66</v>
      </c>
      <c r="M1452" s="1" t="s">
        <v>2752</v>
      </c>
      <c r="N1452" s="1" t="s">
        <v>129</v>
      </c>
      <c r="O1452" s="1" t="s">
        <v>2753</v>
      </c>
    </row>
    <row r="1453" spans="1:15" x14ac:dyDescent="0.4">
      <c r="A1453" s="1" t="s">
        <v>7229</v>
      </c>
      <c r="B1453" s="1" t="s">
        <v>7222</v>
      </c>
      <c r="C1453" s="1" t="s">
        <v>7231</v>
      </c>
      <c r="D1453" s="1" t="s">
        <v>7094</v>
      </c>
      <c r="E1453" s="1" t="s">
        <v>2471</v>
      </c>
      <c r="F1453" s="1" t="s">
        <v>17</v>
      </c>
      <c r="G1453" s="4" t="str">
        <f>"08807"</f>
        <v>08807</v>
      </c>
      <c r="H1453" s="1">
        <v>0</v>
      </c>
      <c r="I1453" s="1">
        <v>0</v>
      </c>
      <c r="J1453" s="1">
        <v>0</v>
      </c>
      <c r="K1453" s="1">
        <v>0</v>
      </c>
      <c r="L1453" s="1" t="s">
        <v>141</v>
      </c>
      <c r="M1453" s="1" t="s">
        <v>1729</v>
      </c>
      <c r="N1453" s="1" t="s">
        <v>13</v>
      </c>
      <c r="O1453" s="1" t="s">
        <v>7230</v>
      </c>
    </row>
    <row r="1454" spans="1:15" x14ac:dyDescent="0.4">
      <c r="A1454" s="1" t="s">
        <v>2555</v>
      </c>
      <c r="B1454" s="1" t="s">
        <v>2554</v>
      </c>
      <c r="C1454" s="1" t="s">
        <v>2559</v>
      </c>
      <c r="D1454" s="1" t="s">
        <v>2526</v>
      </c>
      <c r="E1454" s="1" t="s">
        <v>8022</v>
      </c>
      <c r="F1454" s="1" t="s">
        <v>17</v>
      </c>
      <c r="G1454" s="4" t="str">
        <f>"07102"</f>
        <v>07102</v>
      </c>
      <c r="H1454" s="1">
        <v>0</v>
      </c>
      <c r="I1454" s="1">
        <v>0</v>
      </c>
      <c r="J1454" s="1">
        <v>0</v>
      </c>
      <c r="K1454" s="1">
        <v>30</v>
      </c>
      <c r="L1454" s="1" t="s">
        <v>2556</v>
      </c>
      <c r="M1454" s="1" t="s">
        <v>2557</v>
      </c>
      <c r="N1454" s="1" t="s">
        <v>13</v>
      </c>
      <c r="O1454" s="1" t="s">
        <v>2558</v>
      </c>
    </row>
    <row r="1455" spans="1:15" x14ac:dyDescent="0.4">
      <c r="A1455" s="1" t="s">
        <v>2758</v>
      </c>
      <c r="B1455" s="1" t="s">
        <v>2757</v>
      </c>
      <c r="C1455" s="1" t="s">
        <v>2762</v>
      </c>
      <c r="D1455" s="1" t="s">
        <v>2763</v>
      </c>
      <c r="E1455" s="1" t="s">
        <v>8022</v>
      </c>
      <c r="F1455" s="1" t="s">
        <v>17</v>
      </c>
      <c r="G1455" s="4" t="str">
        <f>"07063"</f>
        <v>07063</v>
      </c>
      <c r="H1455" s="1">
        <v>0</v>
      </c>
      <c r="I1455" s="1">
        <v>0</v>
      </c>
      <c r="J1455" s="1">
        <v>0</v>
      </c>
      <c r="K1455" s="1">
        <v>5</v>
      </c>
      <c r="L1455" s="1" t="s">
        <v>2759</v>
      </c>
      <c r="M1455" s="1" t="s">
        <v>2760</v>
      </c>
      <c r="N1455" s="1" t="s">
        <v>13</v>
      </c>
      <c r="O1455" s="1" t="s">
        <v>2761</v>
      </c>
    </row>
    <row r="1456" spans="1:15" x14ac:dyDescent="0.4">
      <c r="A1456" s="1" t="s">
        <v>5151</v>
      </c>
      <c r="B1456" s="1" t="s">
        <v>5150</v>
      </c>
      <c r="C1456" s="1" t="s">
        <v>5153</v>
      </c>
      <c r="D1456" s="1" t="s">
        <v>2501</v>
      </c>
      <c r="E1456" s="1" t="s">
        <v>8027</v>
      </c>
      <c r="F1456" s="1" t="s">
        <v>17</v>
      </c>
      <c r="G1456" s="4" t="str">
        <f>"07712"</f>
        <v>07712</v>
      </c>
      <c r="H1456" s="1">
        <v>0</v>
      </c>
      <c r="I1456" s="1">
        <v>0</v>
      </c>
      <c r="J1456" s="1">
        <v>0</v>
      </c>
      <c r="K1456" s="1">
        <v>0</v>
      </c>
      <c r="L1456" s="1" t="s">
        <v>354</v>
      </c>
      <c r="M1456" s="1" t="s">
        <v>828</v>
      </c>
      <c r="N1456" s="1" t="s">
        <v>91</v>
      </c>
      <c r="O1456" s="1" t="s">
        <v>5152</v>
      </c>
    </row>
    <row r="1457" spans="1:15" x14ac:dyDescent="0.4">
      <c r="A1457" s="1" t="s">
        <v>2764</v>
      </c>
      <c r="B1457" s="1" t="s">
        <v>2764</v>
      </c>
      <c r="C1457" s="1" t="s">
        <v>2768</v>
      </c>
      <c r="D1457" s="1" t="s">
        <v>2600</v>
      </c>
      <c r="E1457" s="1" t="s">
        <v>8022</v>
      </c>
      <c r="F1457" s="1" t="s">
        <v>17</v>
      </c>
      <c r="G1457" s="4" t="str">
        <f>"08638"</f>
        <v>08638</v>
      </c>
      <c r="H1457" s="1">
        <v>0</v>
      </c>
      <c r="I1457" s="1">
        <v>0</v>
      </c>
      <c r="J1457" s="1">
        <v>0</v>
      </c>
      <c r="K1457" s="1">
        <v>41</v>
      </c>
      <c r="L1457" s="1" t="s">
        <v>2765</v>
      </c>
      <c r="M1457" s="1" t="s">
        <v>2766</v>
      </c>
      <c r="N1457" s="1" t="s">
        <v>13</v>
      </c>
      <c r="O1457" s="1" t="s">
        <v>2767</v>
      </c>
    </row>
    <row r="1458" spans="1:15" x14ac:dyDescent="0.4">
      <c r="A1458" s="1" t="s">
        <v>4031</v>
      </c>
      <c r="B1458" s="1" t="s">
        <v>4029</v>
      </c>
      <c r="C1458" s="1" t="s">
        <v>4034</v>
      </c>
      <c r="D1458" s="1" t="s">
        <v>4030</v>
      </c>
      <c r="E1458" s="1" t="s">
        <v>3646</v>
      </c>
      <c r="F1458" s="1" t="s">
        <v>17</v>
      </c>
      <c r="G1458" s="4" t="str">
        <f>"07086"</f>
        <v>07086</v>
      </c>
      <c r="H1458" s="1">
        <v>0</v>
      </c>
      <c r="I1458" s="1">
        <v>0</v>
      </c>
      <c r="J1458" s="1">
        <v>0</v>
      </c>
      <c r="K1458" s="1">
        <v>0</v>
      </c>
      <c r="L1458" s="1" t="s">
        <v>597</v>
      </c>
      <c r="M1458" s="1" t="s">
        <v>4032</v>
      </c>
      <c r="N1458" s="1" t="s">
        <v>13</v>
      </c>
      <c r="O1458" s="1" t="s">
        <v>4033</v>
      </c>
    </row>
    <row r="1459" spans="1:15" x14ac:dyDescent="0.4">
      <c r="A1459" s="1" t="s">
        <v>6661</v>
      </c>
      <c r="B1459" s="1" t="s">
        <v>6622</v>
      </c>
      <c r="C1459" s="1" t="s">
        <v>6664</v>
      </c>
      <c r="D1459" s="1" t="s">
        <v>2670</v>
      </c>
      <c r="E1459" s="1" t="s">
        <v>2670</v>
      </c>
      <c r="F1459" s="1" t="s">
        <v>17</v>
      </c>
      <c r="G1459" s="4" t="str">
        <f>"07055"</f>
        <v>07055</v>
      </c>
      <c r="H1459" s="1">
        <v>0</v>
      </c>
      <c r="I1459" s="1">
        <v>0</v>
      </c>
      <c r="J1459" s="1">
        <v>0</v>
      </c>
      <c r="K1459" s="1">
        <v>43</v>
      </c>
      <c r="L1459" s="1" t="s">
        <v>4061</v>
      </c>
      <c r="M1459" s="1" t="s">
        <v>6662</v>
      </c>
      <c r="N1459" s="1" t="s">
        <v>13</v>
      </c>
      <c r="O1459" s="1" t="s">
        <v>6663</v>
      </c>
    </row>
    <row r="1460" spans="1:15" x14ac:dyDescent="0.4">
      <c r="A1460" s="1" t="s">
        <v>4936</v>
      </c>
      <c r="B1460" s="1" t="s">
        <v>4900</v>
      </c>
      <c r="C1460" s="1" t="s">
        <v>4938</v>
      </c>
      <c r="D1460" s="1" t="s">
        <v>4631</v>
      </c>
      <c r="E1460" s="1" t="s">
        <v>4704</v>
      </c>
      <c r="F1460" s="1" t="s">
        <v>17</v>
      </c>
      <c r="G1460" s="4" t="str">
        <f>"08854"</f>
        <v>08854</v>
      </c>
      <c r="H1460" s="1">
        <v>0</v>
      </c>
      <c r="I1460" s="1">
        <v>0</v>
      </c>
      <c r="J1460" s="1">
        <v>0</v>
      </c>
      <c r="K1460" s="1">
        <v>0</v>
      </c>
      <c r="L1460" s="1" t="s">
        <v>143</v>
      </c>
      <c r="M1460" s="1" t="s">
        <v>154</v>
      </c>
      <c r="N1460" s="1" t="s">
        <v>13</v>
      </c>
      <c r="O1460" s="1" t="s">
        <v>4937</v>
      </c>
    </row>
    <row r="1461" spans="1:15" x14ac:dyDescent="0.4">
      <c r="A1461" s="1" t="s">
        <v>6904</v>
      </c>
      <c r="B1461" s="1" t="s">
        <v>6857</v>
      </c>
      <c r="C1461" s="1" t="s">
        <v>6908</v>
      </c>
      <c r="D1461" s="1" t="s">
        <v>6682</v>
      </c>
      <c r="E1461" s="1" t="s">
        <v>2670</v>
      </c>
      <c r="F1461" s="1" t="s">
        <v>17</v>
      </c>
      <c r="G1461" s="4" t="str">
        <f>"07470-5353"</f>
        <v>07470-5353</v>
      </c>
      <c r="H1461" s="1">
        <v>0</v>
      </c>
      <c r="I1461" s="1">
        <v>0</v>
      </c>
      <c r="J1461" s="1">
        <v>0</v>
      </c>
      <c r="K1461" s="1">
        <v>70</v>
      </c>
      <c r="L1461" s="1" t="s">
        <v>6905</v>
      </c>
      <c r="M1461" s="1" t="s">
        <v>6906</v>
      </c>
      <c r="N1461" s="1" t="s">
        <v>13</v>
      </c>
      <c r="O1461" s="1" t="s">
        <v>6907</v>
      </c>
    </row>
    <row r="1462" spans="1:15" x14ac:dyDescent="0.4">
      <c r="A1462" s="1" t="s">
        <v>7535</v>
      </c>
      <c r="B1462" s="1" t="s">
        <v>7477</v>
      </c>
      <c r="C1462" s="1" t="s">
        <v>7538</v>
      </c>
      <c r="D1462" s="1" t="s">
        <v>1348</v>
      </c>
      <c r="E1462" s="1" t="s">
        <v>7833</v>
      </c>
      <c r="F1462" s="1" t="s">
        <v>17</v>
      </c>
      <c r="G1462" s="4" t="str">
        <f>"07202"</f>
        <v>07202</v>
      </c>
      <c r="H1462" s="1">
        <v>0</v>
      </c>
      <c r="I1462" s="1">
        <v>0</v>
      </c>
      <c r="J1462" s="1">
        <v>0</v>
      </c>
      <c r="K1462" s="1">
        <v>0</v>
      </c>
      <c r="L1462" s="1" t="s">
        <v>7536</v>
      </c>
      <c r="M1462" s="1" t="s">
        <v>386</v>
      </c>
      <c r="N1462" s="1" t="s">
        <v>13</v>
      </c>
      <c r="O1462" s="1" t="s">
        <v>7537</v>
      </c>
    </row>
    <row r="1463" spans="1:15" x14ac:dyDescent="0.4">
      <c r="A1463" s="1" t="s">
        <v>2115</v>
      </c>
      <c r="B1463" s="1" t="s">
        <v>2099</v>
      </c>
      <c r="C1463" s="1" t="s">
        <v>2116</v>
      </c>
      <c r="D1463" s="1" t="s">
        <v>2108</v>
      </c>
      <c r="E1463" s="1" t="s">
        <v>1909</v>
      </c>
      <c r="F1463" s="1" t="s">
        <v>17</v>
      </c>
      <c r="G1463" s="4" t="str">
        <f>"08108"</f>
        <v>08108</v>
      </c>
      <c r="H1463" s="1">
        <v>0</v>
      </c>
      <c r="I1463" s="1">
        <v>0</v>
      </c>
      <c r="J1463" s="1">
        <v>0</v>
      </c>
      <c r="K1463" s="1">
        <v>21</v>
      </c>
      <c r="L1463" s="1" t="s">
        <v>1097</v>
      </c>
      <c r="M1463" s="1" t="s">
        <v>2112</v>
      </c>
      <c r="N1463" s="1" t="s">
        <v>13</v>
      </c>
      <c r="O1463" s="1" t="s">
        <v>2113</v>
      </c>
    </row>
    <row r="1464" spans="1:15" x14ac:dyDescent="0.4">
      <c r="A1464" s="1" t="s">
        <v>3633</v>
      </c>
      <c r="B1464" s="1" t="s">
        <v>3620</v>
      </c>
      <c r="C1464" s="1" t="s">
        <v>3636</v>
      </c>
      <c r="D1464" s="1" t="s">
        <v>3626</v>
      </c>
      <c r="E1464" s="1" t="s">
        <v>8020</v>
      </c>
      <c r="F1464" s="1" t="s">
        <v>17</v>
      </c>
      <c r="G1464" s="4" t="str">
        <f>"08028"</f>
        <v>08028</v>
      </c>
      <c r="H1464" s="1">
        <v>0</v>
      </c>
      <c r="I1464" s="1">
        <v>0</v>
      </c>
      <c r="J1464" s="1">
        <v>0</v>
      </c>
      <c r="K1464" s="1">
        <v>0</v>
      </c>
      <c r="L1464" s="1" t="s">
        <v>611</v>
      </c>
      <c r="M1464" s="1" t="s">
        <v>3634</v>
      </c>
      <c r="N1464" s="1" t="s">
        <v>13</v>
      </c>
      <c r="O1464" s="1" t="s">
        <v>3635</v>
      </c>
    </row>
    <row r="1465" spans="1:15" x14ac:dyDescent="0.4">
      <c r="A1465" s="1" t="s">
        <v>2771</v>
      </c>
      <c r="B1465" s="1" t="s">
        <v>2771</v>
      </c>
      <c r="C1465" s="1" t="s">
        <v>2775</v>
      </c>
      <c r="D1465" s="1" t="s">
        <v>2471</v>
      </c>
      <c r="E1465" s="1" t="s">
        <v>8022</v>
      </c>
      <c r="F1465" s="1" t="s">
        <v>17</v>
      </c>
      <c r="G1465" s="4" t="str">
        <f>"08873"</f>
        <v>08873</v>
      </c>
      <c r="H1465" s="1">
        <v>0</v>
      </c>
      <c r="I1465" s="1">
        <v>0</v>
      </c>
      <c r="J1465" s="1">
        <v>0</v>
      </c>
      <c r="K1465" s="1">
        <v>48</v>
      </c>
      <c r="L1465" s="1" t="s">
        <v>2772</v>
      </c>
      <c r="M1465" s="1" t="s">
        <v>2773</v>
      </c>
      <c r="N1465" s="1" t="s">
        <v>1924</v>
      </c>
      <c r="O1465" s="1" t="s">
        <v>2774</v>
      </c>
    </row>
    <row r="1466" spans="1:15" x14ac:dyDescent="0.4">
      <c r="A1466" s="1" t="s">
        <v>7874</v>
      </c>
      <c r="B1466" s="1" t="s">
        <v>7862</v>
      </c>
      <c r="C1466" s="1" t="s">
        <v>7878</v>
      </c>
      <c r="D1466" s="1" t="s">
        <v>7828</v>
      </c>
      <c r="E1466" s="1" t="s">
        <v>7833</v>
      </c>
      <c r="F1466" s="1" t="s">
        <v>17</v>
      </c>
      <c r="G1466" s="4" t="str">
        <f>"07090"</f>
        <v>07090</v>
      </c>
      <c r="H1466" s="1">
        <v>0</v>
      </c>
      <c r="I1466" s="1">
        <v>0</v>
      </c>
      <c r="J1466" s="1">
        <v>0</v>
      </c>
      <c r="K1466" s="1">
        <v>0</v>
      </c>
      <c r="L1466" s="1" t="s">
        <v>7875</v>
      </c>
      <c r="M1466" s="1" t="s">
        <v>7876</v>
      </c>
      <c r="N1466" s="1" t="s">
        <v>13</v>
      </c>
      <c r="O1466" s="1" t="s">
        <v>7877</v>
      </c>
    </row>
    <row r="1467" spans="1:15" x14ac:dyDescent="0.4">
      <c r="A1467" s="1" t="s">
        <v>3859</v>
      </c>
      <c r="B1467" s="1" t="s">
        <v>3846</v>
      </c>
      <c r="C1467" s="1" t="s">
        <v>3863</v>
      </c>
      <c r="D1467" s="1" t="s">
        <v>2542</v>
      </c>
      <c r="E1467" s="1" t="s">
        <v>3646</v>
      </c>
      <c r="F1467" s="1" t="s">
        <v>17</v>
      </c>
      <c r="G1467" s="4" t="str">
        <f>"07030"</f>
        <v>07030</v>
      </c>
      <c r="H1467" s="1">
        <v>0</v>
      </c>
      <c r="I1467" s="1">
        <v>0</v>
      </c>
      <c r="J1467" s="1">
        <v>0</v>
      </c>
      <c r="K1467" s="1">
        <v>86</v>
      </c>
      <c r="L1467" s="1" t="s">
        <v>3860</v>
      </c>
      <c r="M1467" s="1" t="s">
        <v>3861</v>
      </c>
      <c r="N1467" s="1" t="s">
        <v>13</v>
      </c>
      <c r="O1467" s="1" t="s">
        <v>3862</v>
      </c>
    </row>
    <row r="1468" spans="1:15" x14ac:dyDescent="0.4">
      <c r="A1468" s="1" t="s">
        <v>7539</v>
      </c>
      <c r="B1468" s="1" t="s">
        <v>7477</v>
      </c>
      <c r="C1468" s="1" t="s">
        <v>7543</v>
      </c>
      <c r="D1468" s="1" t="s">
        <v>1348</v>
      </c>
      <c r="E1468" s="1" t="s">
        <v>7833</v>
      </c>
      <c r="F1468" s="1" t="s">
        <v>17</v>
      </c>
      <c r="G1468" s="4" t="str">
        <f>"07201"</f>
        <v>07201</v>
      </c>
      <c r="H1468" s="1">
        <v>0</v>
      </c>
      <c r="I1468" s="1">
        <v>0</v>
      </c>
      <c r="J1468" s="1">
        <v>0</v>
      </c>
      <c r="K1468" s="1">
        <v>0</v>
      </c>
      <c r="L1468" s="1" t="s">
        <v>7540</v>
      </c>
      <c r="M1468" s="1" t="s">
        <v>7541</v>
      </c>
      <c r="N1468" s="1" t="s">
        <v>13</v>
      </c>
      <c r="O1468" s="1" t="s">
        <v>7542</v>
      </c>
    </row>
    <row r="1469" spans="1:15" x14ac:dyDescent="0.4">
      <c r="A1469" s="1" t="s">
        <v>878</v>
      </c>
      <c r="B1469" s="1" t="s">
        <v>873</v>
      </c>
      <c r="C1469" s="1" t="s">
        <v>881</v>
      </c>
      <c r="D1469" s="1" t="s">
        <v>875</v>
      </c>
      <c r="E1469" s="1" t="s">
        <v>8018</v>
      </c>
      <c r="F1469" s="1" t="s">
        <v>17</v>
      </c>
      <c r="G1469" s="4" t="str">
        <f>"07031"</f>
        <v>07031</v>
      </c>
      <c r="H1469" s="1">
        <v>0</v>
      </c>
      <c r="I1469" s="1">
        <v>0</v>
      </c>
      <c r="J1469" s="1">
        <v>0</v>
      </c>
      <c r="K1469" s="1">
        <v>19</v>
      </c>
      <c r="L1469" s="1" t="s">
        <v>340</v>
      </c>
      <c r="M1469" s="1" t="s">
        <v>879</v>
      </c>
      <c r="N1469" s="1" t="s">
        <v>13</v>
      </c>
      <c r="O1469" s="1" t="s">
        <v>880</v>
      </c>
    </row>
    <row r="1470" spans="1:15" x14ac:dyDescent="0.4">
      <c r="A1470" s="1" t="s">
        <v>878</v>
      </c>
      <c r="B1470" s="1" t="s">
        <v>3741</v>
      </c>
      <c r="C1470" s="1" t="s">
        <v>3766</v>
      </c>
      <c r="D1470" s="1" t="s">
        <v>3747</v>
      </c>
      <c r="E1470" s="1" t="s">
        <v>8018</v>
      </c>
      <c r="F1470" s="1" t="s">
        <v>17</v>
      </c>
      <c r="G1470" s="4" t="str">
        <f>"08012-2437"</f>
        <v>08012-2437</v>
      </c>
      <c r="H1470" s="1">
        <v>0</v>
      </c>
      <c r="I1470" s="1">
        <v>0</v>
      </c>
      <c r="J1470" s="1">
        <v>0</v>
      </c>
      <c r="K1470" s="1">
        <v>19</v>
      </c>
      <c r="L1470" s="1" t="s">
        <v>2403</v>
      </c>
      <c r="M1470" s="1" t="s">
        <v>586</v>
      </c>
      <c r="N1470" s="1" t="s">
        <v>13</v>
      </c>
      <c r="O1470" s="1" t="s">
        <v>3765</v>
      </c>
    </row>
    <row r="1471" spans="1:15" x14ac:dyDescent="0.4">
      <c r="A1471" s="1" t="s">
        <v>878</v>
      </c>
      <c r="B1471" s="1" t="s">
        <v>6582</v>
      </c>
      <c r="C1471" s="1" t="s">
        <v>6593</v>
      </c>
      <c r="D1471" s="1" t="s">
        <v>6587</v>
      </c>
      <c r="E1471" s="1" t="s">
        <v>8018</v>
      </c>
      <c r="F1471" s="1" t="s">
        <v>17</v>
      </c>
      <c r="G1471" s="4" t="str">
        <f>"07507"</f>
        <v>07507</v>
      </c>
      <c r="H1471" s="1">
        <v>0</v>
      </c>
      <c r="I1471" s="1">
        <v>0</v>
      </c>
      <c r="J1471" s="1">
        <v>0</v>
      </c>
      <c r="K1471" s="1">
        <v>19</v>
      </c>
      <c r="L1471" s="1" t="s">
        <v>1038</v>
      </c>
      <c r="M1471" s="1" t="s">
        <v>6591</v>
      </c>
      <c r="N1471" s="1" t="s">
        <v>13</v>
      </c>
      <c r="O1471" s="1" t="s">
        <v>6592</v>
      </c>
    </row>
    <row r="1472" spans="1:15" x14ac:dyDescent="0.4">
      <c r="A1472" s="1" t="s">
        <v>4469</v>
      </c>
      <c r="B1472" s="1" t="s">
        <v>4393</v>
      </c>
      <c r="C1472" s="1" t="s">
        <v>4472</v>
      </c>
      <c r="D1472" s="1" t="s">
        <v>2427</v>
      </c>
      <c r="E1472" s="1" t="s">
        <v>8026</v>
      </c>
      <c r="F1472" s="1" t="s">
        <v>17</v>
      </c>
      <c r="G1472" s="4" t="str">
        <f>"08618"</f>
        <v>08618</v>
      </c>
      <c r="H1472" s="1">
        <v>0</v>
      </c>
      <c r="I1472" s="1">
        <v>0</v>
      </c>
      <c r="J1472" s="1">
        <v>0</v>
      </c>
      <c r="K1472" s="1">
        <v>0</v>
      </c>
      <c r="L1472" s="1" t="s">
        <v>661</v>
      </c>
      <c r="M1472" s="1" t="s">
        <v>4470</v>
      </c>
      <c r="N1472" s="1" t="s">
        <v>13</v>
      </c>
      <c r="O1472" s="1" t="s">
        <v>4471</v>
      </c>
    </row>
    <row r="1473" spans="1:15" x14ac:dyDescent="0.4">
      <c r="A1473" s="1" t="s">
        <v>592</v>
      </c>
      <c r="B1473" s="1" t="s">
        <v>561</v>
      </c>
      <c r="C1473" s="1" t="s">
        <v>595</v>
      </c>
      <c r="D1473" s="1" t="s">
        <v>567</v>
      </c>
      <c r="E1473" s="1" t="s">
        <v>8018</v>
      </c>
      <c r="F1473" s="1" t="s">
        <v>17</v>
      </c>
      <c r="G1473" s="4" t="str">
        <f>"07410-4919"</f>
        <v>07410-4919</v>
      </c>
      <c r="H1473" s="1">
        <v>0</v>
      </c>
      <c r="I1473" s="1">
        <v>0</v>
      </c>
      <c r="J1473" s="1">
        <v>0</v>
      </c>
      <c r="K1473" s="1">
        <v>0</v>
      </c>
      <c r="L1473" s="1" t="s">
        <v>158</v>
      </c>
      <c r="M1473" s="1" t="s">
        <v>593</v>
      </c>
      <c r="N1473" s="1" t="s">
        <v>13</v>
      </c>
      <c r="O1473" s="1" t="s">
        <v>594</v>
      </c>
    </row>
    <row r="1474" spans="1:15" x14ac:dyDescent="0.4">
      <c r="A1474" s="1" t="s">
        <v>592</v>
      </c>
      <c r="B1474" s="1" t="s">
        <v>767</v>
      </c>
      <c r="C1474" s="1" t="s">
        <v>776</v>
      </c>
      <c r="D1474" s="1" t="s">
        <v>768</v>
      </c>
      <c r="E1474" s="1" t="s">
        <v>8018</v>
      </c>
      <c r="F1474" s="1" t="s">
        <v>17</v>
      </c>
      <c r="G1474" s="4" t="str">
        <f>"07644"</f>
        <v>07644</v>
      </c>
      <c r="H1474" s="1">
        <v>0</v>
      </c>
      <c r="I1474" s="1">
        <v>0</v>
      </c>
      <c r="J1474" s="1">
        <v>0</v>
      </c>
      <c r="K1474" s="1">
        <v>0</v>
      </c>
      <c r="L1474" s="1" t="s">
        <v>158</v>
      </c>
      <c r="M1474" s="1" t="s">
        <v>774</v>
      </c>
      <c r="N1474" s="1" t="s">
        <v>13</v>
      </c>
      <c r="O1474" s="1" t="s">
        <v>775</v>
      </c>
    </row>
    <row r="1475" spans="1:15" x14ac:dyDescent="0.4">
      <c r="A1475" s="1" t="s">
        <v>592</v>
      </c>
      <c r="B1475" s="1" t="s">
        <v>1191</v>
      </c>
      <c r="C1475" s="1" t="s">
        <v>1218</v>
      </c>
      <c r="D1475" s="1" t="s">
        <v>1195</v>
      </c>
      <c r="E1475" s="1" t="s">
        <v>8018</v>
      </c>
      <c r="F1475" s="1" t="s">
        <v>17</v>
      </c>
      <c r="G1475" s="4" t="str">
        <f>"07666-4249"</f>
        <v>07666-4249</v>
      </c>
      <c r="H1475" s="1">
        <v>0</v>
      </c>
      <c r="I1475" s="1">
        <v>0</v>
      </c>
      <c r="J1475" s="1">
        <v>0</v>
      </c>
      <c r="K1475" s="1">
        <v>0</v>
      </c>
      <c r="L1475" s="1" t="s">
        <v>854</v>
      </c>
      <c r="M1475" s="1" t="s">
        <v>1216</v>
      </c>
      <c r="N1475" s="1" t="s">
        <v>13</v>
      </c>
      <c r="O1475" s="1" t="s">
        <v>1217</v>
      </c>
    </row>
    <row r="1476" spans="1:15" x14ac:dyDescent="0.4">
      <c r="A1476" s="1" t="s">
        <v>592</v>
      </c>
      <c r="B1476" s="1" t="s">
        <v>4570</v>
      </c>
      <c r="C1476" s="1" t="s">
        <v>4621</v>
      </c>
      <c r="D1476" s="1" t="s">
        <v>4571</v>
      </c>
      <c r="E1476" s="1" t="s">
        <v>8018</v>
      </c>
      <c r="F1476" s="1" t="s">
        <v>17</v>
      </c>
      <c r="G1476" s="4" t="str">
        <f>"08817"</f>
        <v>08817</v>
      </c>
      <c r="H1476" s="1">
        <v>0</v>
      </c>
      <c r="I1476" s="1">
        <v>0</v>
      </c>
      <c r="J1476" s="1">
        <v>0</v>
      </c>
      <c r="K1476" s="1">
        <v>0</v>
      </c>
      <c r="L1476" s="1" t="s">
        <v>4618</v>
      </c>
      <c r="M1476" s="1" t="s">
        <v>4619</v>
      </c>
      <c r="N1476" s="1" t="s">
        <v>13</v>
      </c>
      <c r="O1476" s="1" t="s">
        <v>4620</v>
      </c>
    </row>
    <row r="1477" spans="1:15" x14ac:dyDescent="0.4">
      <c r="A1477" s="1" t="s">
        <v>592</v>
      </c>
      <c r="B1477" s="1" t="s">
        <v>6115</v>
      </c>
      <c r="C1477" s="1" t="s">
        <v>6117</v>
      </c>
      <c r="D1477" s="1" t="s">
        <v>5931</v>
      </c>
      <c r="E1477" s="1" t="s">
        <v>8018</v>
      </c>
      <c r="F1477" s="1" t="s">
        <v>17</v>
      </c>
      <c r="G1477" s="4" t="str">
        <f>"07866-3517"</f>
        <v>07866-3517</v>
      </c>
      <c r="H1477" s="1">
        <v>0</v>
      </c>
      <c r="I1477" s="1">
        <v>0</v>
      </c>
      <c r="J1477" s="1">
        <v>0</v>
      </c>
      <c r="K1477" s="1">
        <v>0</v>
      </c>
      <c r="L1477" s="1" t="s">
        <v>3118</v>
      </c>
      <c r="M1477" s="1" t="s">
        <v>1682</v>
      </c>
      <c r="N1477" s="1" t="s">
        <v>13</v>
      </c>
      <c r="O1477" s="1" t="s">
        <v>6116</v>
      </c>
    </row>
    <row r="1478" spans="1:15" x14ac:dyDescent="0.4">
      <c r="A1478" s="1" t="s">
        <v>5977</v>
      </c>
      <c r="B1478" s="1" t="s">
        <v>5955</v>
      </c>
      <c r="C1478" s="1" t="s">
        <v>5980</v>
      </c>
      <c r="D1478" s="1" t="s">
        <v>2789</v>
      </c>
      <c r="E1478" s="1" t="s">
        <v>1503</v>
      </c>
      <c r="F1478" s="1" t="s">
        <v>17</v>
      </c>
      <c r="G1478" s="4" t="str">
        <f>"07960"</f>
        <v>07960</v>
      </c>
      <c r="H1478" s="1">
        <v>0</v>
      </c>
      <c r="I1478" s="1">
        <v>0</v>
      </c>
      <c r="J1478" s="1">
        <v>0</v>
      </c>
      <c r="K1478" s="1">
        <v>0</v>
      </c>
      <c r="L1478" s="1" t="s">
        <v>439</v>
      </c>
      <c r="M1478" s="1" t="s">
        <v>5978</v>
      </c>
      <c r="N1478" s="1" t="s">
        <v>13</v>
      </c>
      <c r="O1478" s="1" t="s">
        <v>5979</v>
      </c>
    </row>
    <row r="1479" spans="1:15" x14ac:dyDescent="0.4">
      <c r="A1479" s="1" t="s">
        <v>666</v>
      </c>
      <c r="B1479" s="1" t="s">
        <v>648</v>
      </c>
      <c r="C1479" s="1" t="s">
        <v>670</v>
      </c>
      <c r="D1479" s="1" t="s">
        <v>664</v>
      </c>
      <c r="E1479" s="1" t="s">
        <v>8018</v>
      </c>
      <c r="F1479" s="1" t="s">
        <v>17</v>
      </c>
      <c r="G1479" s="4" t="str">
        <f>"07026"</f>
        <v>07026</v>
      </c>
      <c r="H1479" s="1">
        <v>0</v>
      </c>
      <c r="I1479" s="1">
        <v>0</v>
      </c>
      <c r="J1479" s="1">
        <v>0</v>
      </c>
      <c r="K1479" s="1">
        <v>66</v>
      </c>
      <c r="L1479" s="1" t="s">
        <v>667</v>
      </c>
      <c r="M1479" s="1" t="s">
        <v>668</v>
      </c>
      <c r="N1479" s="1" t="s">
        <v>13</v>
      </c>
      <c r="O1479" s="1" t="s">
        <v>669</v>
      </c>
    </row>
    <row r="1480" spans="1:15" x14ac:dyDescent="0.4">
      <c r="A1480" s="1" t="s">
        <v>6665</v>
      </c>
      <c r="B1480" s="1" t="s">
        <v>6622</v>
      </c>
      <c r="C1480" s="1" t="s">
        <v>6668</v>
      </c>
      <c r="D1480" s="1" t="s">
        <v>2670</v>
      </c>
      <c r="E1480" s="1" t="s">
        <v>2670</v>
      </c>
      <c r="F1480" s="1" t="s">
        <v>17</v>
      </c>
      <c r="G1480" s="4" t="str">
        <f>"07055"</f>
        <v>07055</v>
      </c>
      <c r="H1480" s="1">
        <v>0</v>
      </c>
      <c r="I1480" s="1">
        <v>0</v>
      </c>
      <c r="J1480" s="1">
        <v>0</v>
      </c>
      <c r="K1480" s="1">
        <v>39</v>
      </c>
      <c r="L1480" s="1" t="s">
        <v>6666</v>
      </c>
      <c r="M1480" s="1" t="s">
        <v>3139</v>
      </c>
      <c r="N1480" s="1" t="s">
        <v>13</v>
      </c>
      <c r="O1480" s="1" t="s">
        <v>6667</v>
      </c>
    </row>
    <row r="1481" spans="1:15" x14ac:dyDescent="0.4">
      <c r="A1481" s="1" t="s">
        <v>7424</v>
      </c>
      <c r="B1481" s="1" t="s">
        <v>7406</v>
      </c>
      <c r="C1481" s="1" t="s">
        <v>7427</v>
      </c>
      <c r="D1481" s="1" t="s">
        <v>7411</v>
      </c>
      <c r="E1481" s="1" t="s">
        <v>7833</v>
      </c>
      <c r="F1481" s="1" t="s">
        <v>17</v>
      </c>
      <c r="G1481" s="4" t="str">
        <f>"07922-2017"</f>
        <v>07922-2017</v>
      </c>
      <c r="H1481" s="1">
        <v>0</v>
      </c>
      <c r="I1481" s="1">
        <v>0</v>
      </c>
      <c r="J1481" s="1">
        <v>0</v>
      </c>
      <c r="K1481" s="1">
        <v>0</v>
      </c>
      <c r="L1481" s="1" t="s">
        <v>18</v>
      </c>
      <c r="M1481" s="1" t="s">
        <v>7425</v>
      </c>
      <c r="N1481" s="1" t="s">
        <v>13</v>
      </c>
      <c r="O1481" s="1" t="s">
        <v>7426</v>
      </c>
    </row>
    <row r="1482" spans="1:15" x14ac:dyDescent="0.4">
      <c r="A1482" s="1" t="s">
        <v>1997</v>
      </c>
      <c r="B1482" s="1" t="s">
        <v>1927</v>
      </c>
      <c r="C1482" s="1" t="s">
        <v>2000</v>
      </c>
      <c r="D1482" s="1" t="s">
        <v>1933</v>
      </c>
      <c r="E1482" s="1" t="s">
        <v>1909</v>
      </c>
      <c r="F1482" s="1" t="s">
        <v>17</v>
      </c>
      <c r="G1482" s="4" t="str">
        <f>"08034-1199"</f>
        <v>08034-1199</v>
      </c>
      <c r="H1482" s="1">
        <v>0</v>
      </c>
      <c r="I1482" s="1">
        <v>0</v>
      </c>
      <c r="J1482" s="1">
        <v>0</v>
      </c>
      <c r="K1482" s="1">
        <v>50</v>
      </c>
      <c r="L1482" s="1" t="s">
        <v>197</v>
      </c>
      <c r="M1482" s="1" t="s">
        <v>1998</v>
      </c>
      <c r="N1482" s="1" t="s">
        <v>13</v>
      </c>
      <c r="O1482" s="1" t="s">
        <v>1999</v>
      </c>
    </row>
    <row r="1483" spans="1:15" x14ac:dyDescent="0.4">
      <c r="A1483" s="1" t="s">
        <v>4503</v>
      </c>
      <c r="B1483" s="1" t="s">
        <v>4483</v>
      </c>
      <c r="C1483" s="1" t="s">
        <v>4506</v>
      </c>
      <c r="D1483" s="1" t="s">
        <v>4493</v>
      </c>
      <c r="E1483" s="1" t="s">
        <v>8026</v>
      </c>
      <c r="F1483" s="1" t="s">
        <v>17</v>
      </c>
      <c r="G1483" s="4" t="str">
        <f>"08550"</f>
        <v>08550</v>
      </c>
      <c r="H1483" s="1">
        <v>0</v>
      </c>
      <c r="I1483" s="1">
        <v>0</v>
      </c>
      <c r="J1483" s="1">
        <v>0</v>
      </c>
      <c r="K1483" s="1">
        <v>0</v>
      </c>
      <c r="L1483" s="1" t="s">
        <v>1794</v>
      </c>
      <c r="M1483" s="1" t="s">
        <v>4504</v>
      </c>
      <c r="N1483" s="1" t="s">
        <v>13</v>
      </c>
      <c r="O1483" s="1" t="s">
        <v>4505</v>
      </c>
    </row>
    <row r="1484" spans="1:15" x14ac:dyDescent="0.4">
      <c r="A1484" s="1" t="s">
        <v>2922</v>
      </c>
      <c r="B1484" s="1" t="s">
        <v>2878</v>
      </c>
      <c r="C1484" s="1" t="s">
        <v>2926</v>
      </c>
      <c r="D1484" s="1" t="s">
        <v>2796</v>
      </c>
      <c r="E1484" s="1" t="s">
        <v>8023</v>
      </c>
      <c r="F1484" s="1" t="s">
        <v>17</v>
      </c>
      <c r="G1484" s="4" t="str">
        <f>"08360-2635"</f>
        <v>08360-2635</v>
      </c>
      <c r="H1484" s="1">
        <v>0</v>
      </c>
      <c r="I1484" s="1">
        <v>0</v>
      </c>
      <c r="J1484" s="1">
        <v>0</v>
      </c>
      <c r="K1484" s="1">
        <v>0</v>
      </c>
      <c r="L1484" s="1" t="s">
        <v>2923</v>
      </c>
      <c r="M1484" s="1" t="s">
        <v>2924</v>
      </c>
      <c r="N1484" s="1" t="s">
        <v>13</v>
      </c>
      <c r="O1484" s="1" t="s">
        <v>2925</v>
      </c>
    </row>
    <row r="1485" spans="1:15" x14ac:dyDescent="0.4">
      <c r="A1485" s="1" t="s">
        <v>5518</v>
      </c>
      <c r="B1485" s="1" t="s">
        <v>5469</v>
      </c>
      <c r="C1485" s="1" t="s">
        <v>5520</v>
      </c>
      <c r="D1485" s="1" t="s">
        <v>5494</v>
      </c>
      <c r="E1485" s="1" t="s">
        <v>8027</v>
      </c>
      <c r="F1485" s="1" t="s">
        <v>17</v>
      </c>
      <c r="G1485" s="4" t="str">
        <f>"07748-3299"</f>
        <v>07748-3299</v>
      </c>
      <c r="H1485" s="1">
        <v>0</v>
      </c>
      <c r="I1485" s="1">
        <v>0</v>
      </c>
      <c r="J1485" s="1">
        <v>0</v>
      </c>
      <c r="K1485" s="1">
        <v>0</v>
      </c>
      <c r="L1485" s="1" t="s">
        <v>50</v>
      </c>
      <c r="M1485" s="1" t="s">
        <v>5216</v>
      </c>
      <c r="N1485" s="1" t="s">
        <v>13</v>
      </c>
      <c r="O1485" s="1" t="s">
        <v>5519</v>
      </c>
    </row>
    <row r="1486" spans="1:15" x14ac:dyDescent="0.4">
      <c r="A1486" s="1" t="s">
        <v>5521</v>
      </c>
      <c r="B1486" s="1" t="s">
        <v>5469</v>
      </c>
      <c r="C1486" s="1" t="s">
        <v>5523</v>
      </c>
      <c r="D1486" s="1" t="s">
        <v>5524</v>
      </c>
      <c r="E1486" s="1" t="s">
        <v>8027</v>
      </c>
      <c r="F1486" s="1" t="s">
        <v>17</v>
      </c>
      <c r="G1486" s="4" t="str">
        <f>"07758-1099"</f>
        <v>07758-1099</v>
      </c>
      <c r="H1486" s="1">
        <v>0</v>
      </c>
      <c r="I1486" s="1">
        <v>0</v>
      </c>
      <c r="J1486" s="1">
        <v>0</v>
      </c>
      <c r="K1486" s="1">
        <v>0</v>
      </c>
      <c r="L1486" s="1" t="s">
        <v>1519</v>
      </c>
      <c r="M1486" s="1" t="s">
        <v>421</v>
      </c>
      <c r="N1486" s="1" t="s">
        <v>13</v>
      </c>
      <c r="O1486" s="1" t="s">
        <v>5522</v>
      </c>
    </row>
    <row r="1487" spans="1:15" x14ac:dyDescent="0.4">
      <c r="A1487" s="1" t="s">
        <v>1862</v>
      </c>
      <c r="B1487" s="1" t="s">
        <v>1856</v>
      </c>
      <c r="C1487" s="1" t="s">
        <v>1865</v>
      </c>
      <c r="D1487" s="1" t="s">
        <v>1866</v>
      </c>
      <c r="E1487" s="1" t="s">
        <v>1909</v>
      </c>
      <c r="F1487" s="1" t="s">
        <v>17</v>
      </c>
      <c r="G1487" s="4" t="str">
        <f>"08081"</f>
        <v>08081</v>
      </c>
      <c r="H1487" s="1">
        <v>0</v>
      </c>
      <c r="I1487" s="1">
        <v>0</v>
      </c>
      <c r="J1487" s="1">
        <v>0</v>
      </c>
      <c r="K1487" s="1">
        <v>0</v>
      </c>
      <c r="L1487" s="1" t="s">
        <v>28</v>
      </c>
      <c r="M1487" s="1" t="s">
        <v>1863</v>
      </c>
      <c r="N1487" s="1" t="s">
        <v>13</v>
      </c>
      <c r="O1487" s="1" t="s">
        <v>1864</v>
      </c>
    </row>
    <row r="1488" spans="1:15" x14ac:dyDescent="0.4">
      <c r="A1488" s="1" t="s">
        <v>4330</v>
      </c>
      <c r="B1488" s="1" t="s">
        <v>4321</v>
      </c>
      <c r="C1488" s="1" t="s">
        <v>4332</v>
      </c>
      <c r="D1488" s="1" t="s">
        <v>4183</v>
      </c>
      <c r="E1488" s="1" t="s">
        <v>8026</v>
      </c>
      <c r="F1488" s="1" t="s">
        <v>17</v>
      </c>
      <c r="G1488" s="4" t="str">
        <f>"08534-1614"</f>
        <v>08534-1614</v>
      </c>
      <c r="H1488" s="1">
        <v>0</v>
      </c>
      <c r="I1488" s="1">
        <v>0</v>
      </c>
      <c r="J1488" s="1">
        <v>0</v>
      </c>
      <c r="K1488" s="1">
        <v>0</v>
      </c>
      <c r="L1488" s="1" t="s">
        <v>380</v>
      </c>
      <c r="M1488" s="1" t="s">
        <v>2178</v>
      </c>
      <c r="N1488" s="1" t="s">
        <v>13</v>
      </c>
      <c r="O1488" s="1" t="s">
        <v>4331</v>
      </c>
    </row>
    <row r="1489" spans="1:15" x14ac:dyDescent="0.4">
      <c r="A1489" s="1" t="s">
        <v>6013</v>
      </c>
      <c r="B1489" s="1" t="s">
        <v>5991</v>
      </c>
      <c r="C1489" s="1" t="s">
        <v>6016</v>
      </c>
      <c r="D1489" s="1" t="s">
        <v>6000</v>
      </c>
      <c r="E1489" s="1" t="s">
        <v>1503</v>
      </c>
      <c r="F1489" s="1" t="s">
        <v>17</v>
      </c>
      <c r="G1489" s="4" t="str">
        <f>"07836"</f>
        <v>07836</v>
      </c>
      <c r="H1489" s="1">
        <v>0</v>
      </c>
      <c r="I1489" s="1">
        <v>0</v>
      </c>
      <c r="J1489" s="1">
        <v>0</v>
      </c>
      <c r="K1489" s="1">
        <v>62</v>
      </c>
      <c r="L1489" s="1" t="s">
        <v>236</v>
      </c>
      <c r="M1489" s="1" t="s">
        <v>6014</v>
      </c>
      <c r="N1489" s="1" t="s">
        <v>13</v>
      </c>
      <c r="O1489" s="1" t="s">
        <v>6015</v>
      </c>
    </row>
    <row r="1490" spans="1:15" x14ac:dyDescent="0.4">
      <c r="A1490" s="1" t="s">
        <v>5648</v>
      </c>
      <c r="B1490" s="1" t="s">
        <v>5643</v>
      </c>
      <c r="C1490" s="1" t="s">
        <v>5651</v>
      </c>
      <c r="D1490" s="1" t="s">
        <v>5576</v>
      </c>
      <c r="E1490" s="1" t="s">
        <v>8027</v>
      </c>
      <c r="F1490" s="1" t="s">
        <v>17</v>
      </c>
      <c r="G1490" s="4" t="str">
        <f>"07724-3296"</f>
        <v>07724-3296</v>
      </c>
      <c r="H1490" s="1">
        <v>0</v>
      </c>
      <c r="I1490" s="1">
        <v>0</v>
      </c>
      <c r="J1490" s="1">
        <v>0</v>
      </c>
      <c r="K1490" s="1">
        <v>0</v>
      </c>
      <c r="L1490" s="1" t="s">
        <v>3051</v>
      </c>
      <c r="M1490" s="1" t="s">
        <v>5649</v>
      </c>
      <c r="N1490" s="1" t="s">
        <v>13</v>
      </c>
      <c r="O1490" s="1" t="s">
        <v>5650</v>
      </c>
    </row>
    <row r="1491" spans="1:15" x14ac:dyDescent="0.4">
      <c r="A1491" s="1" t="s">
        <v>4333</v>
      </c>
      <c r="B1491" s="1" t="s">
        <v>4321</v>
      </c>
      <c r="C1491" s="1" t="s">
        <v>4336</v>
      </c>
      <c r="D1491" s="1" t="s">
        <v>4183</v>
      </c>
      <c r="E1491" s="1" t="s">
        <v>8026</v>
      </c>
      <c r="F1491" s="1" t="s">
        <v>17</v>
      </c>
      <c r="G1491" s="4" t="str">
        <f>"08534-2219"</f>
        <v>08534-2219</v>
      </c>
      <c r="H1491" s="1">
        <v>0</v>
      </c>
      <c r="I1491" s="1">
        <v>0</v>
      </c>
      <c r="J1491" s="1">
        <v>0</v>
      </c>
      <c r="K1491" s="1">
        <v>51</v>
      </c>
      <c r="L1491" s="1" t="s">
        <v>197</v>
      </c>
      <c r="M1491" s="1" t="s">
        <v>4334</v>
      </c>
      <c r="N1491" s="1" t="s">
        <v>13</v>
      </c>
      <c r="O1491" s="1" t="s">
        <v>4335</v>
      </c>
    </row>
    <row r="1492" spans="1:15" x14ac:dyDescent="0.4">
      <c r="A1492" s="1" t="s">
        <v>6498</v>
      </c>
      <c r="B1492" s="1" t="s">
        <v>6474</v>
      </c>
      <c r="C1492" s="1" t="s">
        <v>6500</v>
      </c>
      <c r="D1492" s="1" t="s">
        <v>6399</v>
      </c>
      <c r="E1492" s="1" t="s">
        <v>8028</v>
      </c>
      <c r="F1492" s="1" t="s">
        <v>17</v>
      </c>
      <c r="G1492" s="4" t="str">
        <f>"08753"</f>
        <v>08753</v>
      </c>
      <c r="H1492" s="1">
        <v>0</v>
      </c>
      <c r="I1492" s="1">
        <v>0</v>
      </c>
      <c r="J1492" s="1">
        <v>0</v>
      </c>
      <c r="K1492" s="1">
        <v>0</v>
      </c>
      <c r="L1492" s="1" t="s">
        <v>66</v>
      </c>
      <c r="M1492" s="1" t="s">
        <v>2749</v>
      </c>
      <c r="N1492" s="1" t="s">
        <v>13</v>
      </c>
      <c r="O1492" s="1" t="s">
        <v>6499</v>
      </c>
    </row>
    <row r="1493" spans="1:15" x14ac:dyDescent="0.4">
      <c r="A1493" s="1" t="s">
        <v>6501</v>
      </c>
      <c r="B1493" s="1" t="s">
        <v>6474</v>
      </c>
      <c r="C1493" s="1" t="s">
        <v>6504</v>
      </c>
      <c r="D1493" s="1" t="s">
        <v>6399</v>
      </c>
      <c r="E1493" s="1" t="s">
        <v>8028</v>
      </c>
      <c r="F1493" s="1" t="s">
        <v>17</v>
      </c>
      <c r="G1493" s="4" t="str">
        <f>"08753-1304"</f>
        <v>08753-1304</v>
      </c>
      <c r="H1493" s="1">
        <v>0</v>
      </c>
      <c r="I1493" s="1">
        <v>0</v>
      </c>
      <c r="J1493" s="1">
        <v>0</v>
      </c>
      <c r="K1493" s="1">
        <v>0</v>
      </c>
      <c r="L1493" s="1" t="s">
        <v>685</v>
      </c>
      <c r="M1493" s="1" t="s">
        <v>6502</v>
      </c>
      <c r="N1493" s="1" t="s">
        <v>13</v>
      </c>
      <c r="O1493" s="1" t="s">
        <v>6503</v>
      </c>
    </row>
    <row r="1494" spans="1:15" x14ac:dyDescent="0.4">
      <c r="A1494" s="1" t="s">
        <v>6505</v>
      </c>
      <c r="B1494" s="1" t="s">
        <v>6474</v>
      </c>
      <c r="C1494" s="1" t="s">
        <v>6508</v>
      </c>
      <c r="D1494" s="1" t="s">
        <v>6399</v>
      </c>
      <c r="E1494" s="1" t="s">
        <v>8028</v>
      </c>
      <c r="F1494" s="1" t="s">
        <v>17</v>
      </c>
      <c r="G1494" s="4" t="str">
        <f>"08753"</f>
        <v>08753</v>
      </c>
      <c r="H1494" s="1">
        <v>0</v>
      </c>
      <c r="I1494" s="1">
        <v>0</v>
      </c>
      <c r="J1494" s="1">
        <v>0</v>
      </c>
      <c r="K1494" s="1">
        <v>0</v>
      </c>
      <c r="L1494" s="1" t="s">
        <v>11</v>
      </c>
      <c r="M1494" s="1" t="s">
        <v>6506</v>
      </c>
      <c r="N1494" s="1" t="s">
        <v>13</v>
      </c>
      <c r="O1494" s="1" t="s">
        <v>6507</v>
      </c>
    </row>
    <row r="1495" spans="1:15" x14ac:dyDescent="0.4">
      <c r="A1495" s="1" t="s">
        <v>6509</v>
      </c>
      <c r="B1495" s="1" t="s">
        <v>6474</v>
      </c>
      <c r="C1495" s="1" t="s">
        <v>6512</v>
      </c>
      <c r="D1495" s="1" t="s">
        <v>6399</v>
      </c>
      <c r="E1495" s="1" t="s">
        <v>8028</v>
      </c>
      <c r="F1495" s="1" t="s">
        <v>17</v>
      </c>
      <c r="G1495" s="4" t="str">
        <f>"08753"</f>
        <v>08753</v>
      </c>
      <c r="H1495" s="1">
        <v>0</v>
      </c>
      <c r="I1495" s="1">
        <v>0</v>
      </c>
      <c r="J1495" s="1">
        <v>0</v>
      </c>
      <c r="K1495" s="1">
        <v>0</v>
      </c>
      <c r="L1495" s="1" t="s">
        <v>4258</v>
      </c>
      <c r="M1495" s="1" t="s">
        <v>6510</v>
      </c>
      <c r="N1495" s="1" t="s">
        <v>13</v>
      </c>
      <c r="O1495" s="1" t="s">
        <v>6511</v>
      </c>
    </row>
    <row r="1496" spans="1:15" x14ac:dyDescent="0.4">
      <c r="A1496" s="1" t="s">
        <v>6513</v>
      </c>
      <c r="B1496" s="1" t="s">
        <v>6474</v>
      </c>
      <c r="C1496" s="1" t="s">
        <v>6516</v>
      </c>
      <c r="D1496" s="1" t="s">
        <v>6399</v>
      </c>
      <c r="E1496" s="1" t="s">
        <v>8028</v>
      </c>
      <c r="F1496" s="1" t="s">
        <v>17</v>
      </c>
      <c r="G1496" s="4" t="str">
        <f>"08753"</f>
        <v>08753</v>
      </c>
      <c r="H1496" s="1">
        <v>0</v>
      </c>
      <c r="I1496" s="1">
        <v>0</v>
      </c>
      <c r="J1496" s="1">
        <v>0</v>
      </c>
      <c r="K1496" s="1">
        <v>0</v>
      </c>
      <c r="L1496" s="1" t="s">
        <v>220</v>
      </c>
      <c r="M1496" s="1" t="s">
        <v>6514</v>
      </c>
      <c r="N1496" s="1" t="s">
        <v>13</v>
      </c>
      <c r="O1496" s="1" t="s">
        <v>6515</v>
      </c>
    </row>
    <row r="1497" spans="1:15" x14ac:dyDescent="0.4">
      <c r="A1497" s="1" t="s">
        <v>6517</v>
      </c>
      <c r="B1497" s="1" t="s">
        <v>6474</v>
      </c>
      <c r="C1497" s="1" t="s">
        <v>6520</v>
      </c>
      <c r="D1497" s="1" t="s">
        <v>6479</v>
      </c>
      <c r="E1497" s="1" t="s">
        <v>8028</v>
      </c>
      <c r="F1497" s="1" t="s">
        <v>17</v>
      </c>
      <c r="G1497" s="4" t="str">
        <f>"08722"</f>
        <v>08722</v>
      </c>
      <c r="H1497" s="1">
        <v>0</v>
      </c>
      <c r="I1497" s="1">
        <v>0</v>
      </c>
      <c r="J1497" s="1">
        <v>0</v>
      </c>
      <c r="K1497" s="1">
        <v>0</v>
      </c>
      <c r="L1497" s="1" t="s">
        <v>563</v>
      </c>
      <c r="M1497" s="1" t="s">
        <v>6518</v>
      </c>
      <c r="N1497" s="1" t="s">
        <v>13</v>
      </c>
      <c r="O1497" s="1" t="s">
        <v>6519</v>
      </c>
    </row>
    <row r="1498" spans="1:15" x14ac:dyDescent="0.4">
      <c r="A1498" s="1" t="s">
        <v>921</v>
      </c>
      <c r="B1498" s="1" t="s">
        <v>904</v>
      </c>
      <c r="C1498" s="1" t="s">
        <v>925</v>
      </c>
      <c r="D1498" s="1" t="s">
        <v>926</v>
      </c>
      <c r="E1498" s="1" t="s">
        <v>8018</v>
      </c>
      <c r="F1498" s="1" t="s">
        <v>17</v>
      </c>
      <c r="G1498" s="4" t="str">
        <f>"07436-2924"</f>
        <v>07436-2924</v>
      </c>
      <c r="H1498" s="1">
        <v>3</v>
      </c>
      <c r="I1498" s="1">
        <v>13.6</v>
      </c>
      <c r="J1498" s="1">
        <v>0</v>
      </c>
      <c r="K1498" s="1">
        <v>0</v>
      </c>
      <c r="L1498" s="1" t="s">
        <v>38</v>
      </c>
      <c r="M1498" s="1" t="s">
        <v>922</v>
      </c>
      <c r="N1498" s="1" t="s">
        <v>923</v>
      </c>
      <c r="O1498" s="1" t="s">
        <v>924</v>
      </c>
    </row>
    <row r="1499" spans="1:15" x14ac:dyDescent="0.4">
      <c r="A1499" s="1" t="s">
        <v>5880</v>
      </c>
      <c r="B1499" s="1" t="s">
        <v>5866</v>
      </c>
      <c r="C1499" s="1" t="s">
        <v>5883</v>
      </c>
      <c r="D1499" s="1" t="s">
        <v>5867</v>
      </c>
      <c r="E1499" s="1" t="s">
        <v>1503</v>
      </c>
      <c r="F1499" s="1" t="s">
        <v>17</v>
      </c>
      <c r="G1499" s="4" t="str">
        <f>"07940-2422"</f>
        <v>07940-2422</v>
      </c>
      <c r="H1499" s="1">
        <v>0</v>
      </c>
      <c r="I1499" s="1">
        <v>0</v>
      </c>
      <c r="J1499" s="1">
        <v>0</v>
      </c>
      <c r="K1499" s="1">
        <v>37</v>
      </c>
      <c r="L1499" s="1" t="s">
        <v>5881</v>
      </c>
      <c r="M1499" s="1" t="s">
        <v>303</v>
      </c>
      <c r="N1499" s="1" t="s">
        <v>13</v>
      </c>
      <c r="O1499" s="1" t="s">
        <v>5882</v>
      </c>
    </row>
    <row r="1500" spans="1:15" x14ac:dyDescent="0.4">
      <c r="A1500" s="1" t="s">
        <v>5658</v>
      </c>
      <c r="B1500" s="1" t="s">
        <v>5652</v>
      </c>
      <c r="C1500" s="1" t="s">
        <v>5660</v>
      </c>
      <c r="D1500" s="1" t="s">
        <v>2657</v>
      </c>
      <c r="E1500" s="1" t="s">
        <v>8027</v>
      </c>
      <c r="F1500" s="1" t="s">
        <v>17</v>
      </c>
      <c r="G1500" s="4" t="str">
        <f>"07712-7296"</f>
        <v>07712-7296</v>
      </c>
      <c r="H1500" s="1">
        <v>0</v>
      </c>
      <c r="I1500" s="1">
        <v>0</v>
      </c>
      <c r="J1500" s="1">
        <v>0</v>
      </c>
      <c r="K1500" s="1">
        <v>0</v>
      </c>
      <c r="L1500" s="1" t="s">
        <v>380</v>
      </c>
      <c r="M1500" s="1" t="s">
        <v>5319</v>
      </c>
      <c r="N1500" s="1" t="s">
        <v>13</v>
      </c>
      <c r="O1500" s="1" t="s">
        <v>5659</v>
      </c>
    </row>
    <row r="1501" spans="1:15" x14ac:dyDescent="0.4">
      <c r="A1501" s="1" t="s">
        <v>1092</v>
      </c>
      <c r="B1501" s="1" t="s">
        <v>1058</v>
      </c>
      <c r="C1501" s="1" t="s">
        <v>1095</v>
      </c>
      <c r="D1501" s="1" t="s">
        <v>1063</v>
      </c>
      <c r="E1501" s="1" t="s">
        <v>8018</v>
      </c>
      <c r="F1501" s="1" t="s">
        <v>17</v>
      </c>
      <c r="G1501" s="4" t="str">
        <f>"07451"</f>
        <v>07451</v>
      </c>
      <c r="H1501" s="1">
        <v>0</v>
      </c>
      <c r="I1501" s="1">
        <v>0</v>
      </c>
      <c r="J1501" s="1">
        <v>0</v>
      </c>
      <c r="K1501" s="1">
        <v>36</v>
      </c>
      <c r="L1501" s="1" t="s">
        <v>611</v>
      </c>
      <c r="M1501" s="1" t="s">
        <v>1093</v>
      </c>
      <c r="N1501" s="1" t="s">
        <v>241</v>
      </c>
      <c r="O1501" s="1" t="s">
        <v>1094</v>
      </c>
    </row>
    <row r="1502" spans="1:15" x14ac:dyDescent="0.4">
      <c r="A1502" s="1" t="s">
        <v>4473</v>
      </c>
      <c r="B1502" s="1" t="s">
        <v>4393</v>
      </c>
      <c r="C1502" s="1" t="s">
        <v>4475</v>
      </c>
      <c r="D1502" s="1" t="s">
        <v>2600</v>
      </c>
      <c r="E1502" s="1" t="s">
        <v>8026</v>
      </c>
      <c r="F1502" s="1" t="s">
        <v>17</v>
      </c>
      <c r="G1502" s="4" t="str">
        <f>"08611"</f>
        <v>08611</v>
      </c>
      <c r="H1502" s="1">
        <v>0</v>
      </c>
      <c r="I1502" s="1">
        <v>0</v>
      </c>
      <c r="J1502" s="1">
        <v>0</v>
      </c>
      <c r="K1502" s="1">
        <v>0</v>
      </c>
      <c r="L1502" s="1" t="s">
        <v>20</v>
      </c>
      <c r="M1502" s="1" t="s">
        <v>1133</v>
      </c>
      <c r="N1502" s="1" t="s">
        <v>1183</v>
      </c>
      <c r="O1502" s="1" t="s">
        <v>4474</v>
      </c>
    </row>
    <row r="1503" spans="1:15" x14ac:dyDescent="0.4">
      <c r="A1503" s="1" t="s">
        <v>4476</v>
      </c>
      <c r="B1503" s="1" t="s">
        <v>4393</v>
      </c>
      <c r="C1503" s="1" t="s">
        <v>4478</v>
      </c>
      <c r="D1503" s="1" t="s">
        <v>2427</v>
      </c>
      <c r="E1503" s="1" t="s">
        <v>8026</v>
      </c>
      <c r="F1503" s="1" t="s">
        <v>17</v>
      </c>
      <c r="G1503" s="4" t="str">
        <f>"08609"</f>
        <v>08609</v>
      </c>
      <c r="H1503" s="1">
        <v>0</v>
      </c>
      <c r="I1503" s="1">
        <v>0</v>
      </c>
      <c r="J1503" s="1">
        <v>0</v>
      </c>
      <c r="K1503" s="1">
        <v>0</v>
      </c>
      <c r="L1503" s="1" t="s">
        <v>169</v>
      </c>
      <c r="M1503" s="1" t="s">
        <v>387</v>
      </c>
      <c r="N1503" s="1" t="s">
        <v>13</v>
      </c>
      <c r="O1503" s="1" t="s">
        <v>4477</v>
      </c>
    </row>
    <row r="1504" spans="1:15" x14ac:dyDescent="0.4">
      <c r="A1504" s="1" t="s">
        <v>2776</v>
      </c>
      <c r="B1504" s="1" t="s">
        <v>2776</v>
      </c>
      <c r="C1504" s="1" t="s">
        <v>2778</v>
      </c>
      <c r="D1504" s="1" t="s">
        <v>2779</v>
      </c>
      <c r="E1504" s="1" t="s">
        <v>8022</v>
      </c>
      <c r="F1504" s="1" t="s">
        <v>17</v>
      </c>
      <c r="G1504" s="4" t="str">
        <f>"08618"</f>
        <v>08618</v>
      </c>
      <c r="H1504" s="1">
        <v>0</v>
      </c>
      <c r="I1504" s="1">
        <v>0</v>
      </c>
      <c r="J1504" s="1">
        <v>0</v>
      </c>
      <c r="K1504" s="1">
        <v>0</v>
      </c>
      <c r="L1504" s="1" t="s">
        <v>1398</v>
      </c>
      <c r="M1504" s="1" t="s">
        <v>1910</v>
      </c>
      <c r="N1504" s="1" t="s">
        <v>1924</v>
      </c>
      <c r="O1504" s="1" t="s">
        <v>2777</v>
      </c>
    </row>
    <row r="1505" spans="1:15" x14ac:dyDescent="0.4">
      <c r="A1505" s="1" t="s">
        <v>1867</v>
      </c>
      <c r="B1505" s="1" t="s">
        <v>1856</v>
      </c>
      <c r="C1505" s="1" t="s">
        <v>1870</v>
      </c>
      <c r="D1505" s="1" t="s">
        <v>1871</v>
      </c>
      <c r="E1505" s="1" t="s">
        <v>1909</v>
      </c>
      <c r="F1505" s="1" t="s">
        <v>17</v>
      </c>
      <c r="G1505" s="4" t="str">
        <f>"08078"</f>
        <v>08078</v>
      </c>
      <c r="H1505" s="1">
        <v>0</v>
      </c>
      <c r="I1505" s="1">
        <v>0</v>
      </c>
      <c r="J1505" s="1">
        <v>0</v>
      </c>
      <c r="K1505" s="1">
        <v>0</v>
      </c>
      <c r="L1505" s="1" t="s">
        <v>197</v>
      </c>
      <c r="M1505" s="1" t="s">
        <v>1868</v>
      </c>
      <c r="N1505" s="1" t="s">
        <v>13</v>
      </c>
      <c r="O1505" s="1" t="s">
        <v>1869</v>
      </c>
    </row>
    <row r="1506" spans="1:15" x14ac:dyDescent="0.4">
      <c r="A1506" s="1" t="s">
        <v>6072</v>
      </c>
      <c r="B1506" s="1" t="s">
        <v>6029</v>
      </c>
      <c r="C1506" s="1" t="s">
        <v>6075</v>
      </c>
      <c r="D1506" s="1" t="s">
        <v>6061</v>
      </c>
      <c r="E1506" s="1" t="s">
        <v>1503</v>
      </c>
      <c r="F1506" s="1" t="s">
        <v>17</v>
      </c>
      <c r="G1506" s="4" t="str">
        <f>"07054-3327"</f>
        <v>07054-3327</v>
      </c>
      <c r="H1506" s="1">
        <v>0</v>
      </c>
      <c r="I1506" s="1">
        <v>0</v>
      </c>
      <c r="J1506" s="1">
        <v>0</v>
      </c>
      <c r="K1506" s="1">
        <v>54</v>
      </c>
      <c r="L1506" s="1" t="s">
        <v>671</v>
      </c>
      <c r="M1506" s="1" t="s">
        <v>6073</v>
      </c>
      <c r="N1506" s="1" t="s">
        <v>13</v>
      </c>
      <c r="O1506" s="1" t="s">
        <v>6074</v>
      </c>
    </row>
    <row r="1507" spans="1:15" x14ac:dyDescent="0.4">
      <c r="A1507" s="1" t="s">
        <v>7324</v>
      </c>
      <c r="B1507" s="1" t="s">
        <v>7315</v>
      </c>
      <c r="C1507" s="1" t="s">
        <v>7326</v>
      </c>
      <c r="D1507" s="1" t="s">
        <v>7316</v>
      </c>
      <c r="E1507" s="1" t="s">
        <v>8030</v>
      </c>
      <c r="F1507" s="1" t="s">
        <v>17</v>
      </c>
      <c r="G1507" s="4" t="str">
        <f>"07843"</f>
        <v>07843</v>
      </c>
      <c r="H1507" s="1">
        <v>0</v>
      </c>
      <c r="I1507" s="1">
        <v>0</v>
      </c>
      <c r="J1507" s="1">
        <v>0</v>
      </c>
      <c r="K1507" s="1">
        <v>0</v>
      </c>
      <c r="L1507" s="1" t="s">
        <v>50</v>
      </c>
      <c r="M1507" s="1" t="s">
        <v>1178</v>
      </c>
      <c r="N1507" s="1" t="s">
        <v>13</v>
      </c>
      <c r="O1507" s="1" t="s">
        <v>7325</v>
      </c>
    </row>
    <row r="1508" spans="1:15" x14ac:dyDescent="0.4">
      <c r="A1508" s="1" t="s">
        <v>3462</v>
      </c>
      <c r="B1508" s="1" t="s">
        <v>3430</v>
      </c>
      <c r="C1508" s="1" t="s">
        <v>3466</v>
      </c>
      <c r="D1508" s="1" t="s">
        <v>3435</v>
      </c>
      <c r="E1508" s="1" t="s">
        <v>8024</v>
      </c>
      <c r="F1508" s="1" t="s">
        <v>17</v>
      </c>
      <c r="G1508" s="4" t="str">
        <f>"07040-3109"</f>
        <v>07040-3109</v>
      </c>
      <c r="H1508" s="1">
        <v>0</v>
      </c>
      <c r="I1508" s="1">
        <v>0</v>
      </c>
      <c r="J1508" s="1">
        <v>0</v>
      </c>
      <c r="K1508" s="1">
        <v>68</v>
      </c>
      <c r="L1508" s="1" t="s">
        <v>3463</v>
      </c>
      <c r="M1508" s="1" t="s">
        <v>3464</v>
      </c>
      <c r="N1508" s="1" t="s">
        <v>13</v>
      </c>
      <c r="O1508" s="1" t="s">
        <v>3465</v>
      </c>
    </row>
    <row r="1509" spans="1:15" x14ac:dyDescent="0.4">
      <c r="A1509" s="1" t="s">
        <v>1784</v>
      </c>
      <c r="B1509" s="1" t="s">
        <v>1769</v>
      </c>
      <c r="C1509" s="1" t="s">
        <v>1788</v>
      </c>
      <c r="D1509" s="1" t="s">
        <v>1777</v>
      </c>
      <c r="E1509" s="1" t="s">
        <v>8019</v>
      </c>
      <c r="F1509" s="1" t="s">
        <v>17</v>
      </c>
      <c r="G1509" s="4" t="str">
        <f>"08046"</f>
        <v>08046</v>
      </c>
      <c r="H1509" s="1">
        <v>0</v>
      </c>
      <c r="I1509" s="1">
        <v>0</v>
      </c>
      <c r="J1509" s="1">
        <v>0</v>
      </c>
      <c r="K1509" s="1">
        <v>2</v>
      </c>
      <c r="L1509" s="1" t="s">
        <v>1785</v>
      </c>
      <c r="M1509" s="1" t="s">
        <v>1786</v>
      </c>
      <c r="N1509" s="1" t="s">
        <v>13</v>
      </c>
      <c r="O1509" s="1" t="s">
        <v>1787</v>
      </c>
    </row>
    <row r="1510" spans="1:15" x14ac:dyDescent="0.4">
      <c r="A1510" s="1" t="s">
        <v>3134</v>
      </c>
      <c r="B1510" s="1" t="s">
        <v>3117</v>
      </c>
      <c r="C1510" s="1" t="s">
        <v>3138</v>
      </c>
      <c r="D1510" s="1" t="s">
        <v>2465</v>
      </c>
      <c r="E1510" s="1" t="s">
        <v>8024</v>
      </c>
      <c r="F1510" s="1" t="s">
        <v>17</v>
      </c>
      <c r="G1510" s="4" t="str">
        <f>"07111-2811"</f>
        <v>07111-2811</v>
      </c>
      <c r="H1510" s="1">
        <v>0</v>
      </c>
      <c r="I1510" s="1">
        <v>0</v>
      </c>
      <c r="J1510" s="1">
        <v>0</v>
      </c>
      <c r="K1510" s="1">
        <v>0</v>
      </c>
      <c r="L1510" s="1" t="s">
        <v>3135</v>
      </c>
      <c r="M1510" s="1" t="s">
        <v>3136</v>
      </c>
      <c r="N1510" s="1" t="s">
        <v>13</v>
      </c>
      <c r="O1510" s="1" t="s">
        <v>3137</v>
      </c>
    </row>
    <row r="1511" spans="1:15" x14ac:dyDescent="0.4">
      <c r="A1511" s="1" t="s">
        <v>4023</v>
      </c>
      <c r="B1511" s="1" t="s">
        <v>3999</v>
      </c>
      <c r="C1511" s="1" t="s">
        <v>4024</v>
      </c>
      <c r="D1511" s="1" t="s">
        <v>4004</v>
      </c>
      <c r="E1511" s="1" t="s">
        <v>3646</v>
      </c>
      <c r="F1511" s="1" t="s">
        <v>17</v>
      </c>
      <c r="G1511" s="4" t="str">
        <f>"07087"</f>
        <v>07087</v>
      </c>
      <c r="H1511" s="1">
        <v>0</v>
      </c>
      <c r="I1511" s="1">
        <v>0</v>
      </c>
      <c r="J1511" s="1">
        <v>0</v>
      </c>
      <c r="K1511" s="1">
        <v>0</v>
      </c>
      <c r="L1511" s="1" t="s">
        <v>42</v>
      </c>
      <c r="M1511" s="1" t="s">
        <v>32</v>
      </c>
      <c r="N1511" s="1" t="s">
        <v>13</v>
      </c>
      <c r="O1511" s="1" t="s">
        <v>4022</v>
      </c>
    </row>
    <row r="1512" spans="1:15" x14ac:dyDescent="0.4">
      <c r="A1512" s="1" t="s">
        <v>7850</v>
      </c>
      <c r="B1512" s="1" t="s">
        <v>7834</v>
      </c>
      <c r="C1512" s="1" t="s">
        <v>7853</v>
      </c>
      <c r="D1512" s="1" t="s">
        <v>7854</v>
      </c>
      <c r="E1512" s="1" t="s">
        <v>7833</v>
      </c>
      <c r="F1512" s="1" t="s">
        <v>17</v>
      </c>
      <c r="G1512" s="4" t="str">
        <f>"07076"</f>
        <v>07076</v>
      </c>
      <c r="H1512" s="1">
        <v>0</v>
      </c>
      <c r="I1512" s="1">
        <v>0</v>
      </c>
      <c r="J1512" s="1">
        <v>0</v>
      </c>
      <c r="K1512" s="1">
        <v>0</v>
      </c>
      <c r="L1512" s="1" t="s">
        <v>143</v>
      </c>
      <c r="M1512" s="1" t="s">
        <v>7851</v>
      </c>
      <c r="N1512" s="1" t="s">
        <v>13</v>
      </c>
      <c r="O1512" s="1" t="s">
        <v>7852</v>
      </c>
    </row>
    <row r="1513" spans="1:15" x14ac:dyDescent="0.4">
      <c r="A1513" s="1" t="s">
        <v>7855</v>
      </c>
      <c r="B1513" s="1" t="s">
        <v>7834</v>
      </c>
      <c r="C1513" s="1" t="s">
        <v>7837</v>
      </c>
      <c r="D1513" s="1" t="s">
        <v>7728</v>
      </c>
      <c r="E1513" s="1" t="s">
        <v>7833</v>
      </c>
      <c r="F1513" s="1" t="s">
        <v>17</v>
      </c>
      <c r="G1513" s="4" t="str">
        <f>"07076-2997"</f>
        <v>07076-2997</v>
      </c>
      <c r="H1513" s="1">
        <v>0</v>
      </c>
      <c r="I1513" s="1">
        <v>0</v>
      </c>
      <c r="J1513" s="1">
        <v>0</v>
      </c>
      <c r="K1513" s="1">
        <v>0</v>
      </c>
      <c r="L1513" s="1" t="s">
        <v>4974</v>
      </c>
      <c r="M1513" s="1" t="s">
        <v>7856</v>
      </c>
      <c r="N1513" s="1" t="s">
        <v>13</v>
      </c>
      <c r="O1513" s="1" t="s">
        <v>7857</v>
      </c>
    </row>
    <row r="1514" spans="1:15" x14ac:dyDescent="0.4">
      <c r="A1514" s="1" t="s">
        <v>2781</v>
      </c>
      <c r="B1514" s="1" t="s">
        <v>2780</v>
      </c>
      <c r="C1514" s="1" t="s">
        <v>2784</v>
      </c>
      <c r="D1514" s="1" t="s">
        <v>2763</v>
      </c>
      <c r="E1514" s="1" t="s">
        <v>8022</v>
      </c>
      <c r="F1514" s="1" t="s">
        <v>17</v>
      </c>
      <c r="G1514" s="4" t="str">
        <f>"07060"</f>
        <v>07060</v>
      </c>
      <c r="H1514" s="1">
        <v>0</v>
      </c>
      <c r="I1514" s="1">
        <v>0</v>
      </c>
      <c r="J1514" s="1">
        <v>0</v>
      </c>
      <c r="K1514" s="1">
        <v>16</v>
      </c>
      <c r="L1514" s="1" t="s">
        <v>1578</v>
      </c>
      <c r="M1514" s="1" t="s">
        <v>2782</v>
      </c>
      <c r="N1514" s="1" t="s">
        <v>129</v>
      </c>
      <c r="O1514" s="1" t="s">
        <v>2783</v>
      </c>
    </row>
    <row r="1515" spans="1:15" x14ac:dyDescent="0.4">
      <c r="A1515" s="1" t="s">
        <v>7858</v>
      </c>
      <c r="B1515" s="1" t="s">
        <v>7834</v>
      </c>
      <c r="C1515" s="1" t="s">
        <v>7861</v>
      </c>
      <c r="D1515" s="1" t="s">
        <v>7728</v>
      </c>
      <c r="E1515" s="1" t="s">
        <v>7833</v>
      </c>
      <c r="F1515" s="1" t="s">
        <v>17</v>
      </c>
      <c r="G1515" s="4" t="str">
        <f>"07076-2997"</f>
        <v>07076-2997</v>
      </c>
      <c r="H1515" s="1">
        <v>0</v>
      </c>
      <c r="I1515" s="1">
        <v>0</v>
      </c>
      <c r="J1515" s="1">
        <v>0</v>
      </c>
      <c r="K1515" s="1">
        <v>0</v>
      </c>
      <c r="L1515" s="1" t="s">
        <v>671</v>
      </c>
      <c r="M1515" s="1" t="s">
        <v>7859</v>
      </c>
      <c r="N1515" s="1" t="s">
        <v>13</v>
      </c>
      <c r="O1515" s="1" t="s">
        <v>7860</v>
      </c>
    </row>
    <row r="1516" spans="1:15" x14ac:dyDescent="0.4">
      <c r="A1516" s="1" t="s">
        <v>7804</v>
      </c>
      <c r="B1516" s="1" t="s">
        <v>7791</v>
      </c>
      <c r="C1516" s="1" t="s">
        <v>7807</v>
      </c>
      <c r="D1516" s="1" t="s">
        <v>2482</v>
      </c>
      <c r="E1516" s="1" t="s">
        <v>7833</v>
      </c>
      <c r="F1516" s="1" t="s">
        <v>17</v>
      </c>
      <c r="G1516" s="4" t="str">
        <f>"07083"</f>
        <v>07083</v>
      </c>
      <c r="H1516" s="1">
        <v>0</v>
      </c>
      <c r="I1516" s="1">
        <v>0</v>
      </c>
      <c r="J1516" s="1">
        <v>0</v>
      </c>
      <c r="K1516" s="1">
        <v>0</v>
      </c>
      <c r="L1516" s="1" t="s">
        <v>6805</v>
      </c>
      <c r="M1516" s="1" t="s">
        <v>7805</v>
      </c>
      <c r="N1516" s="1" t="s">
        <v>1183</v>
      </c>
      <c r="O1516" s="1" t="s">
        <v>7806</v>
      </c>
    </row>
    <row r="1517" spans="1:15" x14ac:dyDescent="0.4">
      <c r="A1517" s="1" t="s">
        <v>4025</v>
      </c>
      <c r="B1517" s="1" t="s">
        <v>3999</v>
      </c>
      <c r="C1517" s="1" t="s">
        <v>4028</v>
      </c>
      <c r="D1517" s="1" t="s">
        <v>4009</v>
      </c>
      <c r="E1517" s="1" t="s">
        <v>3646</v>
      </c>
      <c r="F1517" s="1" t="s">
        <v>17</v>
      </c>
      <c r="G1517" s="4" t="str">
        <f>"07087-6020"</f>
        <v>07087-6020</v>
      </c>
      <c r="H1517" s="1">
        <v>0</v>
      </c>
      <c r="I1517" s="1">
        <v>0</v>
      </c>
      <c r="J1517" s="1">
        <v>0</v>
      </c>
      <c r="K1517" s="1">
        <v>0</v>
      </c>
      <c r="L1517" s="1" t="s">
        <v>158</v>
      </c>
      <c r="M1517" s="1" t="s">
        <v>4026</v>
      </c>
      <c r="N1517" s="1" t="s">
        <v>13</v>
      </c>
      <c r="O1517" s="1" t="s">
        <v>4027</v>
      </c>
    </row>
    <row r="1518" spans="1:15" x14ac:dyDescent="0.4">
      <c r="A1518" s="1" t="s">
        <v>1151</v>
      </c>
      <c r="B1518" s="1" t="s">
        <v>1134</v>
      </c>
      <c r="C1518" s="1" t="s">
        <v>1155</v>
      </c>
      <c r="D1518" s="1" t="s">
        <v>1139</v>
      </c>
      <c r="E1518" s="1" t="s">
        <v>8018</v>
      </c>
      <c r="F1518" s="1" t="s">
        <v>17</v>
      </c>
      <c r="G1518" s="4" t="str">
        <f>"07070-1519"</f>
        <v>07070-1519</v>
      </c>
      <c r="H1518" s="1">
        <v>0</v>
      </c>
      <c r="I1518" s="1">
        <v>0</v>
      </c>
      <c r="J1518" s="1">
        <v>0</v>
      </c>
      <c r="K1518" s="1">
        <v>0</v>
      </c>
      <c r="L1518" s="1" t="s">
        <v>1152</v>
      </c>
      <c r="M1518" s="1" t="s">
        <v>1153</v>
      </c>
      <c r="N1518" s="1" t="s">
        <v>13</v>
      </c>
      <c r="O1518" s="1" t="s">
        <v>1154</v>
      </c>
    </row>
    <row r="1519" spans="1:15" x14ac:dyDescent="0.4">
      <c r="A1519" s="1" t="s">
        <v>4174</v>
      </c>
      <c r="B1519" s="1" t="s">
        <v>4173</v>
      </c>
      <c r="C1519" s="1" t="s">
        <v>4177</v>
      </c>
      <c r="D1519" s="1" t="s">
        <v>4112</v>
      </c>
      <c r="E1519" s="1" t="s">
        <v>8025</v>
      </c>
      <c r="F1519" s="1" t="s">
        <v>17</v>
      </c>
      <c r="G1519" s="4" t="str">
        <f>"08827-9715"</f>
        <v>08827-9715</v>
      </c>
      <c r="H1519" s="1">
        <v>0</v>
      </c>
      <c r="I1519" s="1">
        <v>0</v>
      </c>
      <c r="J1519" s="1">
        <v>0</v>
      </c>
      <c r="K1519" s="1">
        <v>0</v>
      </c>
      <c r="L1519" s="1" t="s">
        <v>582</v>
      </c>
      <c r="M1519" s="1" t="s">
        <v>4175</v>
      </c>
      <c r="N1519" s="1" t="s">
        <v>13</v>
      </c>
      <c r="O1519" s="1" t="s">
        <v>4176</v>
      </c>
    </row>
    <row r="1520" spans="1:15" x14ac:dyDescent="0.4">
      <c r="A1520" s="1" t="s">
        <v>2078</v>
      </c>
      <c r="B1520" s="1" t="s">
        <v>2047</v>
      </c>
      <c r="C1520" s="1" t="s">
        <v>2082</v>
      </c>
      <c r="D1520" s="1" t="s">
        <v>2048</v>
      </c>
      <c r="E1520" s="1" t="s">
        <v>1909</v>
      </c>
      <c r="F1520" s="1" t="s">
        <v>17</v>
      </c>
      <c r="G1520" s="4" t="str">
        <f>"08081"</f>
        <v>08081</v>
      </c>
      <c r="H1520" s="1">
        <v>2</v>
      </c>
      <c r="I1520" s="1">
        <v>0.4</v>
      </c>
      <c r="J1520" s="1">
        <v>0</v>
      </c>
      <c r="K1520" s="1">
        <v>84</v>
      </c>
      <c r="L1520" s="1" t="s">
        <v>2079</v>
      </c>
      <c r="M1520" s="1" t="s">
        <v>2080</v>
      </c>
      <c r="N1520" s="1" t="s">
        <v>13</v>
      </c>
      <c r="O1520" s="1" t="s">
        <v>2081</v>
      </c>
    </row>
    <row r="1521" spans="1:15" x14ac:dyDescent="0.4">
      <c r="A1521" s="1" t="s">
        <v>2785</v>
      </c>
      <c r="B1521" s="1" t="s">
        <v>2785</v>
      </c>
      <c r="C1521" s="1" t="s">
        <v>2788</v>
      </c>
      <c r="D1521" s="1" t="s">
        <v>2789</v>
      </c>
      <c r="E1521" s="1" t="s">
        <v>8022</v>
      </c>
      <c r="F1521" s="1" t="s">
        <v>17</v>
      </c>
      <c r="G1521" s="4" t="str">
        <f>"07960"</f>
        <v>07960</v>
      </c>
      <c r="H1521" s="1">
        <v>0</v>
      </c>
      <c r="I1521" s="1">
        <v>0</v>
      </c>
      <c r="J1521" s="1">
        <v>0</v>
      </c>
      <c r="K1521" s="1">
        <v>30</v>
      </c>
      <c r="L1521" s="1" t="s">
        <v>38</v>
      </c>
      <c r="M1521" s="1" t="s">
        <v>2786</v>
      </c>
      <c r="N1521" s="1" t="s">
        <v>1924</v>
      </c>
      <c r="O1521" s="1" t="s">
        <v>2787</v>
      </c>
    </row>
    <row r="1522" spans="1:15" x14ac:dyDescent="0.4">
      <c r="A1522" s="1" t="s">
        <v>2791</v>
      </c>
      <c r="B1522" s="1" t="s">
        <v>2791</v>
      </c>
      <c r="C1522" s="1" t="s">
        <v>2794</v>
      </c>
      <c r="D1522" s="1" t="s">
        <v>2605</v>
      </c>
      <c r="E1522" s="1" t="s">
        <v>8022</v>
      </c>
      <c r="F1522" s="1" t="s">
        <v>17</v>
      </c>
      <c r="G1522" s="4" t="str">
        <f>"07305"</f>
        <v>07305</v>
      </c>
      <c r="H1522" s="1">
        <v>0</v>
      </c>
      <c r="I1522" s="1">
        <v>0</v>
      </c>
      <c r="J1522" s="1">
        <v>0</v>
      </c>
      <c r="K1522" s="1">
        <v>0</v>
      </c>
      <c r="L1522" s="1" t="s">
        <v>2792</v>
      </c>
      <c r="M1522" s="1" t="s">
        <v>2167</v>
      </c>
      <c r="N1522" s="1" t="s">
        <v>1924</v>
      </c>
      <c r="O1522" s="1" t="s">
        <v>2793</v>
      </c>
    </row>
    <row r="1523" spans="1:15" x14ac:dyDescent="0.4">
      <c r="A1523" s="1" t="s">
        <v>3339</v>
      </c>
      <c r="B1523" s="1" t="s">
        <v>3249</v>
      </c>
      <c r="C1523" s="1" t="s">
        <v>3343</v>
      </c>
      <c r="D1523" s="1" t="s">
        <v>2526</v>
      </c>
      <c r="E1523" s="1" t="s">
        <v>8024</v>
      </c>
      <c r="F1523" s="1" t="s">
        <v>17</v>
      </c>
      <c r="G1523" s="4" t="str">
        <f>"07108-1221"</f>
        <v>07108-1221</v>
      </c>
      <c r="H1523" s="1">
        <v>0</v>
      </c>
      <c r="I1523" s="1">
        <v>0</v>
      </c>
      <c r="J1523" s="1">
        <v>0</v>
      </c>
      <c r="K1523" s="1">
        <v>0</v>
      </c>
      <c r="L1523" s="1" t="s">
        <v>3340</v>
      </c>
      <c r="M1523" s="1" t="s">
        <v>3341</v>
      </c>
      <c r="N1523" s="1" t="s">
        <v>13</v>
      </c>
      <c r="O1523" s="1" t="s">
        <v>3342</v>
      </c>
    </row>
    <row r="1524" spans="1:15" x14ac:dyDescent="0.4">
      <c r="A1524" s="1" t="s">
        <v>3140</v>
      </c>
      <c r="B1524" s="1" t="s">
        <v>3117</v>
      </c>
      <c r="C1524" s="1" t="s">
        <v>3143</v>
      </c>
      <c r="D1524" s="1" t="s">
        <v>2465</v>
      </c>
      <c r="E1524" s="1" t="s">
        <v>8024</v>
      </c>
      <c r="F1524" s="1" t="s">
        <v>17</v>
      </c>
      <c r="G1524" s="4" t="str">
        <f>"07111-2621"</f>
        <v>07111-2621</v>
      </c>
      <c r="H1524" s="1">
        <v>0</v>
      </c>
      <c r="I1524" s="1">
        <v>0</v>
      </c>
      <c r="J1524" s="1">
        <v>0</v>
      </c>
      <c r="K1524" s="1">
        <v>0</v>
      </c>
      <c r="L1524" s="1" t="s">
        <v>158</v>
      </c>
      <c r="M1524" s="1" t="s">
        <v>3141</v>
      </c>
      <c r="N1524" s="1" t="s">
        <v>13</v>
      </c>
      <c r="O1524" s="1" t="s">
        <v>3142</v>
      </c>
    </row>
    <row r="1525" spans="1:15" x14ac:dyDescent="0.4">
      <c r="A1525" s="1" t="s">
        <v>6934</v>
      </c>
      <c r="B1525" s="1" t="s">
        <v>6917</v>
      </c>
      <c r="C1525" s="1" t="s">
        <v>6936</v>
      </c>
      <c r="D1525" s="1" t="s">
        <v>6937</v>
      </c>
      <c r="E1525" s="1" t="s">
        <v>2670</v>
      </c>
      <c r="F1525" s="1" t="s">
        <v>17</v>
      </c>
      <c r="G1525" s="4" t="str">
        <f>"07421"</f>
        <v>07421</v>
      </c>
      <c r="H1525" s="1">
        <v>0</v>
      </c>
      <c r="I1525" s="1">
        <v>0</v>
      </c>
      <c r="J1525" s="1">
        <v>0</v>
      </c>
      <c r="K1525" s="1">
        <v>35</v>
      </c>
      <c r="L1525" s="1" t="s">
        <v>1966</v>
      </c>
      <c r="M1525" s="1" t="s">
        <v>5598</v>
      </c>
      <c r="N1525" s="1" t="s">
        <v>13</v>
      </c>
      <c r="O1525" s="1" t="s">
        <v>6935</v>
      </c>
    </row>
    <row r="1526" spans="1:15" x14ac:dyDescent="0.4">
      <c r="A1526" s="1" t="s">
        <v>537</v>
      </c>
      <c r="B1526" s="1" t="s">
        <v>532</v>
      </c>
      <c r="C1526" s="1" t="s">
        <v>538</v>
      </c>
      <c r="D1526" s="1" t="s">
        <v>536</v>
      </c>
      <c r="E1526" s="1" t="s">
        <v>8018</v>
      </c>
      <c r="F1526" s="1" t="s">
        <v>17</v>
      </c>
      <c r="G1526" s="4" t="str">
        <f>"07632"</f>
        <v>07632</v>
      </c>
      <c r="H1526" s="1">
        <v>0</v>
      </c>
      <c r="I1526" s="1">
        <v>0</v>
      </c>
      <c r="J1526" s="1">
        <v>0</v>
      </c>
      <c r="K1526" s="1">
        <v>0</v>
      </c>
      <c r="L1526" s="1" t="s">
        <v>533</v>
      </c>
      <c r="M1526" s="1" t="s">
        <v>534</v>
      </c>
      <c r="N1526" s="1" t="s">
        <v>13</v>
      </c>
      <c r="O1526" s="1" t="s">
        <v>535</v>
      </c>
    </row>
    <row r="1527" spans="1:15" x14ac:dyDescent="0.4">
      <c r="A1527" s="1" t="s">
        <v>2385</v>
      </c>
      <c r="B1527" s="1" t="s">
        <v>2384</v>
      </c>
      <c r="C1527" s="1" t="s">
        <v>2388</v>
      </c>
      <c r="D1527" s="1" t="s">
        <v>2389</v>
      </c>
      <c r="E1527" s="1" t="s">
        <v>8021</v>
      </c>
      <c r="F1527" s="1" t="s">
        <v>17</v>
      </c>
      <c r="G1527" s="4" t="str">
        <f>"08223"</f>
        <v>08223</v>
      </c>
      <c r="H1527" s="1">
        <v>0</v>
      </c>
      <c r="I1527" s="1">
        <v>0</v>
      </c>
      <c r="J1527" s="1">
        <v>0</v>
      </c>
      <c r="K1527" s="1">
        <v>0</v>
      </c>
      <c r="L1527" s="1" t="s">
        <v>329</v>
      </c>
      <c r="M1527" s="1" t="s">
        <v>2386</v>
      </c>
      <c r="N1527" s="1" t="s">
        <v>13</v>
      </c>
      <c r="O1527" s="1" t="s">
        <v>2387</v>
      </c>
    </row>
    <row r="1528" spans="1:15" x14ac:dyDescent="0.4">
      <c r="A1528" s="1" t="s">
        <v>2390</v>
      </c>
      <c r="B1528" s="1" t="s">
        <v>2384</v>
      </c>
      <c r="C1528" s="1" t="s">
        <v>2393</v>
      </c>
      <c r="D1528" s="1" t="s">
        <v>2394</v>
      </c>
      <c r="E1528" s="1" t="s">
        <v>8021</v>
      </c>
      <c r="F1528" s="1" t="s">
        <v>17</v>
      </c>
      <c r="G1528" s="4" t="str">
        <f>"08270"</f>
        <v>08270</v>
      </c>
      <c r="H1528" s="1">
        <v>0</v>
      </c>
      <c r="I1528" s="1">
        <v>0</v>
      </c>
      <c r="J1528" s="1">
        <v>0</v>
      </c>
      <c r="K1528" s="1">
        <v>0</v>
      </c>
      <c r="L1528" s="1" t="s">
        <v>1387</v>
      </c>
      <c r="M1528" s="1" t="s">
        <v>2391</v>
      </c>
      <c r="N1528" s="1" t="s">
        <v>13</v>
      </c>
      <c r="O1528" s="1" t="s">
        <v>2392</v>
      </c>
    </row>
    <row r="1529" spans="1:15" x14ac:dyDescent="0.4">
      <c r="A1529" s="1" t="s">
        <v>927</v>
      </c>
      <c r="B1529" s="1" t="s">
        <v>904</v>
      </c>
      <c r="C1529" s="1" t="s">
        <v>931</v>
      </c>
      <c r="D1529" s="1" t="s">
        <v>910</v>
      </c>
      <c r="E1529" s="1" t="s">
        <v>8018</v>
      </c>
      <c r="F1529" s="1" t="s">
        <v>17</v>
      </c>
      <c r="G1529" s="4" t="str">
        <f>"07436-1944"</f>
        <v>07436-1944</v>
      </c>
      <c r="H1529" s="1">
        <v>0</v>
      </c>
      <c r="I1529" s="1">
        <v>0</v>
      </c>
      <c r="J1529" s="1">
        <v>0</v>
      </c>
      <c r="K1529" s="1">
        <v>0</v>
      </c>
      <c r="L1529" s="1" t="s">
        <v>928</v>
      </c>
      <c r="M1529" s="1" t="s">
        <v>929</v>
      </c>
      <c r="N1529" s="1" t="s">
        <v>13</v>
      </c>
      <c r="O1529" s="1" t="s">
        <v>930</v>
      </c>
    </row>
    <row r="1530" spans="1:15" x14ac:dyDescent="0.4">
      <c r="A1530" s="1" t="s">
        <v>4136</v>
      </c>
      <c r="B1530" s="1" t="s">
        <v>4135</v>
      </c>
      <c r="C1530" s="1" t="s">
        <v>4139</v>
      </c>
      <c r="D1530" s="1" t="s">
        <v>4079</v>
      </c>
      <c r="E1530" s="1" t="s">
        <v>8025</v>
      </c>
      <c r="F1530" s="1" t="s">
        <v>17</v>
      </c>
      <c r="G1530" s="4" t="str">
        <f>"07830-9231"</f>
        <v>07830-9231</v>
      </c>
      <c r="H1530" s="1">
        <v>1</v>
      </c>
      <c r="I1530" s="1">
        <v>0.4</v>
      </c>
      <c r="J1530" s="1">
        <v>0</v>
      </c>
      <c r="K1530" s="1">
        <v>31</v>
      </c>
      <c r="L1530" s="1" t="s">
        <v>2874</v>
      </c>
      <c r="M1530" s="1" t="s">
        <v>4137</v>
      </c>
      <c r="N1530" s="1" t="s">
        <v>13</v>
      </c>
      <c r="O1530" s="1" t="s">
        <v>4138</v>
      </c>
    </row>
    <row r="1531" spans="1:15" x14ac:dyDescent="0.4">
      <c r="A1531" s="1" t="s">
        <v>4136</v>
      </c>
      <c r="B1531" s="1" t="s">
        <v>5896</v>
      </c>
      <c r="C1531" s="1" t="s">
        <v>5916</v>
      </c>
      <c r="D1531" s="1" t="s">
        <v>5917</v>
      </c>
      <c r="E1531" s="1" t="s">
        <v>8025</v>
      </c>
      <c r="F1531" s="1" t="s">
        <v>17</v>
      </c>
      <c r="G1531" s="4" t="str">
        <f>"07045"</f>
        <v>07045</v>
      </c>
      <c r="H1531" s="1">
        <v>1</v>
      </c>
      <c r="I1531" s="1">
        <v>0.4</v>
      </c>
      <c r="J1531" s="1">
        <v>0</v>
      </c>
      <c r="K1531" s="1">
        <v>31</v>
      </c>
      <c r="L1531" s="1" t="s">
        <v>140</v>
      </c>
      <c r="M1531" s="1" t="s">
        <v>2628</v>
      </c>
      <c r="N1531" s="1" t="s">
        <v>13</v>
      </c>
      <c r="O1531" s="1" t="s">
        <v>5915</v>
      </c>
    </row>
    <row r="1532" spans="1:15" x14ac:dyDescent="0.4">
      <c r="A1532" s="1" t="s">
        <v>4136</v>
      </c>
      <c r="B1532" s="1" t="s">
        <v>7275</v>
      </c>
      <c r="C1532" s="1" t="s">
        <v>7280</v>
      </c>
      <c r="D1532" s="1" t="s">
        <v>7276</v>
      </c>
      <c r="E1532" s="1" t="s">
        <v>8025</v>
      </c>
      <c r="F1532" s="1" t="s">
        <v>17</v>
      </c>
      <c r="G1532" s="4" t="str">
        <f>"07069"</f>
        <v>07069</v>
      </c>
      <c r="H1532" s="1">
        <v>1</v>
      </c>
      <c r="I1532" s="1">
        <v>0.4</v>
      </c>
      <c r="J1532" s="1">
        <v>0</v>
      </c>
      <c r="K1532" s="1">
        <v>31</v>
      </c>
      <c r="L1532" s="1" t="s">
        <v>7277</v>
      </c>
      <c r="M1532" s="1" t="s">
        <v>7278</v>
      </c>
      <c r="N1532" s="1" t="s">
        <v>13</v>
      </c>
      <c r="O1532" s="1" t="s">
        <v>7279</v>
      </c>
    </row>
    <row r="1533" spans="1:15" x14ac:dyDescent="0.4">
      <c r="A1533" s="1" t="s">
        <v>5739</v>
      </c>
      <c r="B1533" s="1" t="s">
        <v>5728</v>
      </c>
      <c r="C1533" s="1" t="s">
        <v>5742</v>
      </c>
      <c r="D1533" s="1" t="s">
        <v>5734</v>
      </c>
      <c r="E1533" s="1" t="s">
        <v>1503</v>
      </c>
      <c r="F1533" s="1" t="s">
        <v>17</v>
      </c>
      <c r="G1533" s="4" t="str">
        <f>"07834"</f>
        <v>07834</v>
      </c>
      <c r="H1533" s="1">
        <v>0</v>
      </c>
      <c r="I1533" s="1">
        <v>0</v>
      </c>
      <c r="J1533" s="1">
        <v>0</v>
      </c>
      <c r="K1533" s="1">
        <v>0</v>
      </c>
      <c r="L1533" s="1" t="s">
        <v>4094</v>
      </c>
      <c r="M1533" s="1" t="s">
        <v>5740</v>
      </c>
      <c r="N1533" s="1" t="s">
        <v>13</v>
      </c>
      <c r="O1533" s="1" t="s">
        <v>5741</v>
      </c>
    </row>
    <row r="1534" spans="1:15" x14ac:dyDescent="0.4">
      <c r="A1534" s="1" t="s">
        <v>7129</v>
      </c>
      <c r="B1534" s="1" t="s">
        <v>7093</v>
      </c>
      <c r="C1534" s="1" t="s">
        <v>7132</v>
      </c>
      <c r="D1534" s="1" t="s">
        <v>7094</v>
      </c>
      <c r="E1534" s="1" t="s">
        <v>2471</v>
      </c>
      <c r="F1534" s="1" t="s">
        <v>17</v>
      </c>
      <c r="G1534" s="4" t="str">
        <f>"08807"</f>
        <v>08807</v>
      </c>
      <c r="H1534" s="1">
        <v>0</v>
      </c>
      <c r="I1534" s="1">
        <v>0</v>
      </c>
      <c r="J1534" s="1">
        <v>30</v>
      </c>
      <c r="K1534" s="1">
        <v>0</v>
      </c>
      <c r="L1534" s="1" t="s">
        <v>760</v>
      </c>
      <c r="M1534" s="1" t="s">
        <v>7130</v>
      </c>
      <c r="N1534" s="1" t="s">
        <v>13</v>
      </c>
      <c r="O1534" s="1" t="s">
        <v>7131</v>
      </c>
    </row>
    <row r="1535" spans="1:15" x14ac:dyDescent="0.4">
      <c r="A1535" s="1" t="s">
        <v>2117</v>
      </c>
      <c r="B1535" s="1" t="s">
        <v>2099</v>
      </c>
      <c r="C1535" s="1" t="s">
        <v>2121</v>
      </c>
      <c r="D1535" s="1" t="s">
        <v>1831</v>
      </c>
      <c r="E1535" s="1" t="s">
        <v>1909</v>
      </c>
      <c r="F1535" s="1" t="s">
        <v>17</v>
      </c>
      <c r="G1535" s="4" t="str">
        <f>"08033"</f>
        <v>08033</v>
      </c>
      <c r="H1535" s="1">
        <v>0</v>
      </c>
      <c r="I1535" s="1">
        <v>0</v>
      </c>
      <c r="J1535" s="1">
        <v>0</v>
      </c>
      <c r="K1535" s="1">
        <v>52</v>
      </c>
      <c r="L1535" s="1" t="s">
        <v>2118</v>
      </c>
      <c r="M1535" s="1" t="s">
        <v>2119</v>
      </c>
      <c r="N1535" s="1" t="s">
        <v>13</v>
      </c>
      <c r="O1535" s="1" t="s">
        <v>2120</v>
      </c>
    </row>
    <row r="1536" spans="1:15" x14ac:dyDescent="0.4">
      <c r="A1536" s="1" t="s">
        <v>266</v>
      </c>
      <c r="B1536" s="1" t="s">
        <v>264</v>
      </c>
      <c r="C1536" s="1" t="s">
        <v>270</v>
      </c>
      <c r="D1536" s="1" t="s">
        <v>265</v>
      </c>
      <c r="E1536" s="1" t="s">
        <v>8017</v>
      </c>
      <c r="F1536" s="1" t="s">
        <v>17</v>
      </c>
      <c r="G1536" s="4" t="str">
        <f>"08406"</f>
        <v>08406</v>
      </c>
      <c r="H1536" s="1">
        <v>0</v>
      </c>
      <c r="I1536" s="1">
        <v>0</v>
      </c>
      <c r="J1536" s="1">
        <v>0</v>
      </c>
      <c r="K1536" s="1">
        <v>0</v>
      </c>
      <c r="L1536" s="1" t="s">
        <v>267</v>
      </c>
      <c r="M1536" s="1" t="s">
        <v>268</v>
      </c>
      <c r="N1536" s="1" t="s">
        <v>13</v>
      </c>
      <c r="O1536" s="1" t="s">
        <v>269</v>
      </c>
    </row>
    <row r="1537" spans="1:15" x14ac:dyDescent="0.4">
      <c r="A1537" s="1" t="s">
        <v>7398</v>
      </c>
      <c r="B1537" s="1" t="s">
        <v>7380</v>
      </c>
      <c r="C1537" s="1" t="s">
        <v>7401</v>
      </c>
      <c r="D1537" s="1" t="s">
        <v>7385</v>
      </c>
      <c r="E1537" s="1" t="s">
        <v>8030</v>
      </c>
      <c r="F1537" s="1" t="s">
        <v>17</v>
      </c>
      <c r="G1537" s="4" t="str">
        <f>"07462-0800"</f>
        <v>07462-0800</v>
      </c>
      <c r="H1537" s="1">
        <v>0</v>
      </c>
      <c r="I1537" s="1">
        <v>0</v>
      </c>
      <c r="J1537" s="1">
        <v>0</v>
      </c>
      <c r="K1537" s="1">
        <v>0</v>
      </c>
      <c r="L1537" s="1" t="s">
        <v>588</v>
      </c>
      <c r="M1537" s="1" t="s">
        <v>7399</v>
      </c>
      <c r="N1537" s="1" t="s">
        <v>13</v>
      </c>
      <c r="O1537" s="1" t="s">
        <v>7400</v>
      </c>
    </row>
    <row r="1538" spans="1:15" x14ac:dyDescent="0.4">
      <c r="A1538" s="1" t="s">
        <v>3484</v>
      </c>
      <c r="B1538" s="1" t="s">
        <v>3467</v>
      </c>
      <c r="C1538" s="1" t="s">
        <v>3487</v>
      </c>
      <c r="D1538" s="1" t="s">
        <v>3472</v>
      </c>
      <c r="E1538" s="1" t="s">
        <v>8024</v>
      </c>
      <c r="F1538" s="1" t="s">
        <v>17</v>
      </c>
      <c r="G1538" s="4" t="str">
        <f>"07044-1320"</f>
        <v>07044-1320</v>
      </c>
      <c r="H1538" s="1">
        <v>0</v>
      </c>
      <c r="I1538" s="1">
        <v>0</v>
      </c>
      <c r="J1538" s="1">
        <v>0</v>
      </c>
      <c r="K1538" s="1">
        <v>0</v>
      </c>
      <c r="L1538" s="1" t="s">
        <v>1722</v>
      </c>
      <c r="M1538" s="1" t="s">
        <v>3485</v>
      </c>
      <c r="N1538" s="1" t="s">
        <v>13</v>
      </c>
      <c r="O1538" s="1" t="s">
        <v>3486</v>
      </c>
    </row>
    <row r="1539" spans="1:15" x14ac:dyDescent="0.4">
      <c r="A1539" s="1" t="s">
        <v>6276</v>
      </c>
      <c r="B1539" s="1" t="s">
        <v>6241</v>
      </c>
      <c r="C1539" s="1" t="s">
        <v>6279</v>
      </c>
      <c r="D1539" s="1" t="s">
        <v>6251</v>
      </c>
      <c r="E1539" s="1" t="s">
        <v>8028</v>
      </c>
      <c r="F1539" s="1" t="s">
        <v>17</v>
      </c>
      <c r="G1539" s="4" t="str">
        <f>"08724"</f>
        <v>08724</v>
      </c>
      <c r="H1539" s="1">
        <v>0</v>
      </c>
      <c r="I1539" s="1">
        <v>0</v>
      </c>
      <c r="J1539" s="1">
        <v>0</v>
      </c>
      <c r="K1539" s="1">
        <v>95</v>
      </c>
      <c r="L1539" s="1" t="s">
        <v>42</v>
      </c>
      <c r="M1539" s="1" t="s">
        <v>6277</v>
      </c>
      <c r="N1539" s="1" t="s">
        <v>13</v>
      </c>
      <c r="O1539" s="1" t="s">
        <v>6278</v>
      </c>
    </row>
    <row r="1540" spans="1:15" x14ac:dyDescent="0.4">
      <c r="A1540" s="1" t="s">
        <v>2927</v>
      </c>
      <c r="B1540" s="1" t="s">
        <v>2878</v>
      </c>
      <c r="C1540" s="1" t="s">
        <v>2931</v>
      </c>
      <c r="D1540" s="1" t="s">
        <v>2796</v>
      </c>
      <c r="E1540" s="1" t="s">
        <v>8023</v>
      </c>
      <c r="F1540" s="1" t="s">
        <v>17</v>
      </c>
      <c r="G1540" s="4" t="str">
        <f>"08360-7843"</f>
        <v>08360-7843</v>
      </c>
      <c r="H1540" s="1">
        <v>0</v>
      </c>
      <c r="I1540" s="1">
        <v>0</v>
      </c>
      <c r="J1540" s="1">
        <v>0</v>
      </c>
      <c r="K1540" s="1">
        <v>0</v>
      </c>
      <c r="L1540" s="1" t="s">
        <v>2928</v>
      </c>
      <c r="M1540" s="1" t="s">
        <v>2929</v>
      </c>
      <c r="N1540" s="1" t="s">
        <v>13</v>
      </c>
      <c r="O1540" s="1" t="s">
        <v>2930</v>
      </c>
    </row>
    <row r="1541" spans="1:15" x14ac:dyDescent="0.4">
      <c r="A1541" s="1" t="s">
        <v>6280</v>
      </c>
      <c r="B1541" s="1" t="s">
        <v>6241</v>
      </c>
      <c r="C1541" s="1" t="s">
        <v>6283</v>
      </c>
      <c r="D1541" s="1" t="s">
        <v>6246</v>
      </c>
      <c r="E1541" s="1" t="s">
        <v>8028</v>
      </c>
      <c r="F1541" s="1" t="s">
        <v>17</v>
      </c>
      <c r="G1541" s="4" t="str">
        <f>"08724"</f>
        <v>08724</v>
      </c>
      <c r="H1541" s="1">
        <v>0</v>
      </c>
      <c r="I1541" s="1">
        <v>0</v>
      </c>
      <c r="J1541" s="1">
        <v>0</v>
      </c>
      <c r="K1541" s="1">
        <v>0</v>
      </c>
      <c r="L1541" s="1" t="s">
        <v>413</v>
      </c>
      <c r="M1541" s="1" t="s">
        <v>6281</v>
      </c>
      <c r="N1541" s="1" t="s">
        <v>13</v>
      </c>
      <c r="O1541" s="1" t="s">
        <v>6282</v>
      </c>
    </row>
    <row r="1542" spans="1:15" x14ac:dyDescent="0.4">
      <c r="A1542" s="1" t="s">
        <v>882</v>
      </c>
      <c r="B1542" s="1" t="s">
        <v>873</v>
      </c>
      <c r="C1542" s="1" t="s">
        <v>885</v>
      </c>
      <c r="D1542" s="1" t="s">
        <v>875</v>
      </c>
      <c r="E1542" s="1" t="s">
        <v>8018</v>
      </c>
      <c r="F1542" s="1" t="s">
        <v>17</v>
      </c>
      <c r="G1542" s="4" t="str">
        <f>"07031"</f>
        <v>07031</v>
      </c>
      <c r="H1542" s="1">
        <v>0</v>
      </c>
      <c r="I1542" s="1">
        <v>0</v>
      </c>
      <c r="J1542" s="1">
        <v>0</v>
      </c>
      <c r="K1542" s="1">
        <v>0</v>
      </c>
      <c r="L1542" s="1" t="s">
        <v>43</v>
      </c>
      <c r="M1542" s="1" t="s">
        <v>883</v>
      </c>
      <c r="N1542" s="1" t="s">
        <v>13</v>
      </c>
      <c r="O1542" s="1" t="s">
        <v>884</v>
      </c>
    </row>
    <row r="1543" spans="1:15" x14ac:dyDescent="0.4">
      <c r="A1543" s="1" t="s">
        <v>4507</v>
      </c>
      <c r="B1543" s="1" t="s">
        <v>4483</v>
      </c>
      <c r="C1543" s="1" t="s">
        <v>4511</v>
      </c>
      <c r="D1543" s="1" t="s">
        <v>4493</v>
      </c>
      <c r="E1543" s="1" t="s">
        <v>8026</v>
      </c>
      <c r="F1543" s="1" t="s">
        <v>17</v>
      </c>
      <c r="G1543" s="4" t="str">
        <f>"08550"</f>
        <v>08550</v>
      </c>
      <c r="H1543" s="1">
        <v>0</v>
      </c>
      <c r="I1543" s="1">
        <v>0</v>
      </c>
      <c r="J1543" s="1">
        <v>0</v>
      </c>
      <c r="K1543" s="1">
        <v>0</v>
      </c>
      <c r="L1543" s="1" t="s">
        <v>4508</v>
      </c>
      <c r="M1543" s="1" t="s">
        <v>4509</v>
      </c>
      <c r="N1543" s="1" t="s">
        <v>13</v>
      </c>
      <c r="O1543" s="1" t="s">
        <v>4510</v>
      </c>
    </row>
    <row r="1544" spans="1:15" x14ac:dyDescent="0.4">
      <c r="A1544" s="1" t="s">
        <v>4507</v>
      </c>
      <c r="B1544" s="1" t="s">
        <v>7190</v>
      </c>
      <c r="C1544" s="1" t="s">
        <v>7204</v>
      </c>
      <c r="D1544" s="1" t="s">
        <v>7195</v>
      </c>
      <c r="E1544" s="1" t="s">
        <v>8026</v>
      </c>
      <c r="F1544" s="1" t="s">
        <v>17</v>
      </c>
      <c r="G1544" s="4" t="str">
        <f>"08558"</f>
        <v>08558</v>
      </c>
      <c r="H1544" s="1">
        <v>0</v>
      </c>
      <c r="I1544" s="1">
        <v>0</v>
      </c>
      <c r="J1544" s="1">
        <v>0</v>
      </c>
      <c r="K1544" s="1">
        <v>0</v>
      </c>
      <c r="L1544" s="1" t="s">
        <v>247</v>
      </c>
      <c r="M1544" s="1" t="s">
        <v>7202</v>
      </c>
      <c r="N1544" s="1" t="s">
        <v>13</v>
      </c>
      <c r="O1544" s="1" t="s">
        <v>7203</v>
      </c>
    </row>
    <row r="1545" spans="1:15" x14ac:dyDescent="0.4">
      <c r="A1545" s="1" t="s">
        <v>2932</v>
      </c>
      <c r="B1545" s="1" t="s">
        <v>2878</v>
      </c>
      <c r="C1545" s="1" t="s">
        <v>2934</v>
      </c>
      <c r="D1545" s="1" t="s">
        <v>2796</v>
      </c>
      <c r="E1545" s="1" t="s">
        <v>8023</v>
      </c>
      <c r="F1545" s="1" t="s">
        <v>17</v>
      </c>
      <c r="G1545" s="4" t="str">
        <f>"08360-6144"</f>
        <v>08360-6144</v>
      </c>
      <c r="H1545" s="1">
        <v>0</v>
      </c>
      <c r="I1545" s="1">
        <v>0</v>
      </c>
      <c r="J1545" s="1">
        <v>0</v>
      </c>
      <c r="K1545" s="1">
        <v>0</v>
      </c>
      <c r="L1545" s="1" t="s">
        <v>747</v>
      </c>
      <c r="M1545" s="1" t="s">
        <v>812</v>
      </c>
      <c r="N1545" s="1" t="s">
        <v>13</v>
      </c>
      <c r="O1545" s="1" t="s">
        <v>2933</v>
      </c>
    </row>
    <row r="1546" spans="1:15" x14ac:dyDescent="0.4">
      <c r="A1546" s="1" t="s">
        <v>5189</v>
      </c>
      <c r="B1546" s="1" t="s">
        <v>5184</v>
      </c>
      <c r="C1546" s="1" t="s">
        <v>5191</v>
      </c>
      <c r="D1546" s="1" t="s">
        <v>5188</v>
      </c>
      <c r="E1546" s="1" t="s">
        <v>8027</v>
      </c>
      <c r="F1546" s="1" t="s">
        <v>17</v>
      </c>
      <c r="G1546" s="4" t="str">
        <f>"07704-3599"</f>
        <v>07704-3599</v>
      </c>
      <c r="H1546" s="1">
        <v>0</v>
      </c>
      <c r="I1546" s="1">
        <v>0</v>
      </c>
      <c r="J1546" s="1">
        <v>0</v>
      </c>
      <c r="K1546" s="1">
        <v>101</v>
      </c>
      <c r="L1546" s="1" t="s">
        <v>1371</v>
      </c>
      <c r="M1546" s="1" t="s">
        <v>2244</v>
      </c>
      <c r="N1546" s="1" t="s">
        <v>13</v>
      </c>
      <c r="O1546" s="1" t="s">
        <v>5190</v>
      </c>
    </row>
    <row r="1547" spans="1:15" x14ac:dyDescent="0.4">
      <c r="A1547" s="1" t="s">
        <v>4845</v>
      </c>
      <c r="B1547" s="1" t="s">
        <v>4808</v>
      </c>
      <c r="C1547" s="1" t="s">
        <v>4848</v>
      </c>
      <c r="D1547" s="1" t="s">
        <v>4813</v>
      </c>
      <c r="E1547" s="1" t="s">
        <v>4704</v>
      </c>
      <c r="F1547" s="1" t="s">
        <v>17</v>
      </c>
      <c r="G1547" s="4" t="str">
        <f>"08857-1435"</f>
        <v>08857-1435</v>
      </c>
      <c r="H1547" s="1">
        <v>0</v>
      </c>
      <c r="I1547" s="1">
        <v>0</v>
      </c>
      <c r="J1547" s="1">
        <v>0</v>
      </c>
      <c r="K1547" s="1">
        <v>23</v>
      </c>
      <c r="L1547" s="1" t="s">
        <v>267</v>
      </c>
      <c r="M1547" s="1" t="s">
        <v>4846</v>
      </c>
      <c r="N1547" s="1" t="s">
        <v>13</v>
      </c>
      <c r="O1547" s="1" t="s">
        <v>4847</v>
      </c>
    </row>
    <row r="1548" spans="1:15" x14ac:dyDescent="0.4">
      <c r="A1548" s="1" t="s">
        <v>4692</v>
      </c>
      <c r="B1548" s="1" t="s">
        <v>4684</v>
      </c>
      <c r="C1548" s="1" t="s">
        <v>4696</v>
      </c>
      <c r="D1548" s="1" t="s">
        <v>2416</v>
      </c>
      <c r="E1548" s="1" t="s">
        <v>4704</v>
      </c>
      <c r="F1548" s="1" t="s">
        <v>17</v>
      </c>
      <c r="G1548" s="4" t="str">
        <f>"08846"</f>
        <v>08846</v>
      </c>
      <c r="H1548" s="1">
        <v>0</v>
      </c>
      <c r="I1548" s="1">
        <v>0</v>
      </c>
      <c r="J1548" s="1">
        <v>0</v>
      </c>
      <c r="K1548" s="1">
        <v>0</v>
      </c>
      <c r="L1548" s="1" t="s">
        <v>4693</v>
      </c>
      <c r="M1548" s="1" t="s">
        <v>4694</v>
      </c>
      <c r="N1548" s="1" t="s">
        <v>13</v>
      </c>
      <c r="O1548" s="1" t="s">
        <v>4695</v>
      </c>
    </row>
    <row r="1549" spans="1:15" x14ac:dyDescent="0.4">
      <c r="A1549" s="1" t="s">
        <v>4147</v>
      </c>
      <c r="B1549" s="1" t="s">
        <v>4143</v>
      </c>
      <c r="C1549" s="1" t="s">
        <v>4150</v>
      </c>
      <c r="D1549" s="1" t="s">
        <v>4151</v>
      </c>
      <c r="E1549" s="1" t="s">
        <v>8025</v>
      </c>
      <c r="F1549" s="1" t="s">
        <v>17</v>
      </c>
      <c r="G1549" s="4" t="str">
        <f>"08826-9529"</f>
        <v>08826-9529</v>
      </c>
      <c r="H1549" s="1">
        <v>0</v>
      </c>
      <c r="I1549" s="1">
        <v>0</v>
      </c>
      <c r="J1549" s="1">
        <v>0</v>
      </c>
      <c r="K1549" s="1">
        <v>0</v>
      </c>
      <c r="L1549" s="1" t="s">
        <v>1470</v>
      </c>
      <c r="M1549" s="1" t="s">
        <v>4148</v>
      </c>
      <c r="N1549" s="1" t="s">
        <v>13</v>
      </c>
      <c r="O1549" s="1" t="s">
        <v>4149</v>
      </c>
    </row>
    <row r="1550" spans="1:15" x14ac:dyDescent="0.4">
      <c r="A1550" s="1" t="s">
        <v>2276</v>
      </c>
      <c r="B1550" s="1" t="s">
        <v>2262</v>
      </c>
      <c r="C1550" s="1" t="s">
        <v>2280</v>
      </c>
      <c r="D1550" s="1" t="s">
        <v>2035</v>
      </c>
      <c r="E1550" s="1" t="s">
        <v>1909</v>
      </c>
      <c r="F1550" s="1" t="s">
        <v>17</v>
      </c>
      <c r="G1550" s="4" t="str">
        <f>"08043"</f>
        <v>08043</v>
      </c>
      <c r="H1550" s="1">
        <v>0</v>
      </c>
      <c r="I1550" s="1">
        <v>0</v>
      </c>
      <c r="J1550" s="1">
        <v>0</v>
      </c>
      <c r="K1550" s="1">
        <v>0</v>
      </c>
      <c r="L1550" s="1" t="s">
        <v>2277</v>
      </c>
      <c r="M1550" s="1" t="s">
        <v>2278</v>
      </c>
      <c r="N1550" s="1" t="s">
        <v>13</v>
      </c>
      <c r="O1550" s="1" t="s">
        <v>2279</v>
      </c>
    </row>
    <row r="1551" spans="1:15" x14ac:dyDescent="0.4">
      <c r="A1551" s="1" t="s">
        <v>1790</v>
      </c>
      <c r="B1551" s="1" t="s">
        <v>1769</v>
      </c>
      <c r="C1551" s="1" t="s">
        <v>1792</v>
      </c>
      <c r="D1551" s="1" t="s">
        <v>1777</v>
      </c>
      <c r="E1551" s="1" t="s">
        <v>8019</v>
      </c>
      <c r="F1551" s="1" t="s">
        <v>17</v>
      </c>
      <c r="G1551" s="4" t="str">
        <f>"08046"</f>
        <v>08046</v>
      </c>
      <c r="H1551" s="1">
        <v>0</v>
      </c>
      <c r="I1551" s="1">
        <v>0</v>
      </c>
      <c r="J1551" s="1">
        <v>0</v>
      </c>
      <c r="K1551" s="1">
        <v>0</v>
      </c>
      <c r="L1551" s="1" t="s">
        <v>1579</v>
      </c>
      <c r="M1551" s="1" t="s">
        <v>971</v>
      </c>
      <c r="N1551" s="1" t="s">
        <v>13</v>
      </c>
      <c r="O1551" s="1" t="s">
        <v>1791</v>
      </c>
    </row>
    <row r="1552" spans="1:15" x14ac:dyDescent="0.4">
      <c r="A1552" s="1" t="s">
        <v>1266</v>
      </c>
      <c r="B1552" s="1" t="s">
        <v>1260</v>
      </c>
      <c r="C1552" s="1" t="s">
        <v>1269</v>
      </c>
      <c r="D1552" s="1" t="s">
        <v>1265</v>
      </c>
      <c r="E1552" s="1" t="s">
        <v>8018</v>
      </c>
      <c r="F1552" s="1" t="s">
        <v>17</v>
      </c>
      <c r="G1552" s="4" t="str">
        <f>"07463"</f>
        <v>07463</v>
      </c>
      <c r="H1552" s="1">
        <v>0</v>
      </c>
      <c r="I1552" s="1">
        <v>0</v>
      </c>
      <c r="J1552" s="1">
        <v>0</v>
      </c>
      <c r="K1552" s="1">
        <v>0</v>
      </c>
      <c r="L1552" s="1" t="s">
        <v>11</v>
      </c>
      <c r="M1552" s="1" t="s">
        <v>1267</v>
      </c>
      <c r="N1552" s="1" t="s">
        <v>13</v>
      </c>
      <c r="O1552" s="1" t="s">
        <v>1268</v>
      </c>
    </row>
    <row r="1553" spans="1:15" x14ac:dyDescent="0.4">
      <c r="A1553" s="1" t="s">
        <v>1270</v>
      </c>
      <c r="B1553" s="1" t="s">
        <v>1260</v>
      </c>
      <c r="C1553" s="1" t="s">
        <v>1269</v>
      </c>
      <c r="D1553" s="1" t="s">
        <v>1265</v>
      </c>
      <c r="E1553" s="1" t="s">
        <v>8018</v>
      </c>
      <c r="F1553" s="1" t="s">
        <v>17</v>
      </c>
      <c r="G1553" s="4" t="str">
        <f>"07463"</f>
        <v>07463</v>
      </c>
      <c r="H1553" s="1">
        <v>0</v>
      </c>
      <c r="I1553" s="1">
        <v>0</v>
      </c>
      <c r="J1553" s="1">
        <v>0</v>
      </c>
      <c r="K1553" s="1">
        <v>0</v>
      </c>
      <c r="L1553" s="1" t="s">
        <v>158</v>
      </c>
      <c r="M1553" s="1" t="s">
        <v>1271</v>
      </c>
      <c r="N1553" s="1" t="s">
        <v>13</v>
      </c>
      <c r="O1553" s="1" t="s">
        <v>1272</v>
      </c>
    </row>
    <row r="1554" spans="1:15" x14ac:dyDescent="0.4">
      <c r="A1554" s="1" t="s">
        <v>5685</v>
      </c>
      <c r="B1554" s="1" t="s">
        <v>5672</v>
      </c>
      <c r="C1554" s="1" t="s">
        <v>5687</v>
      </c>
      <c r="D1554" s="1" t="s">
        <v>5549</v>
      </c>
      <c r="E1554" s="1" t="s">
        <v>8027</v>
      </c>
      <c r="F1554" s="1" t="s">
        <v>17</v>
      </c>
      <c r="G1554" s="4" t="str">
        <f>"07719-1199"</f>
        <v>07719-1199</v>
      </c>
      <c r="H1554" s="1">
        <v>0</v>
      </c>
      <c r="I1554" s="1">
        <v>0</v>
      </c>
      <c r="J1554" s="1">
        <v>0</v>
      </c>
      <c r="K1554" s="1">
        <v>0</v>
      </c>
      <c r="L1554" s="1" t="s">
        <v>11</v>
      </c>
      <c r="M1554" s="1" t="s">
        <v>315</v>
      </c>
      <c r="N1554" s="1" t="s">
        <v>13</v>
      </c>
      <c r="O1554" s="1" t="s">
        <v>5686</v>
      </c>
    </row>
    <row r="1555" spans="1:15" x14ac:dyDescent="0.4">
      <c r="A1555" s="1" t="s">
        <v>5688</v>
      </c>
      <c r="B1555" s="1" t="s">
        <v>5672</v>
      </c>
      <c r="C1555" s="1" t="s">
        <v>5691</v>
      </c>
      <c r="D1555" s="1" t="s">
        <v>5549</v>
      </c>
      <c r="E1555" s="1" t="s">
        <v>8027</v>
      </c>
      <c r="F1555" s="1" t="s">
        <v>17</v>
      </c>
      <c r="G1555" s="4" t="str">
        <f>"07719-1199"</f>
        <v>07719-1199</v>
      </c>
      <c r="H1555" s="1">
        <v>0</v>
      </c>
      <c r="I1555" s="1">
        <v>0</v>
      </c>
      <c r="J1555" s="1">
        <v>0</v>
      </c>
      <c r="K1555" s="1">
        <v>0</v>
      </c>
      <c r="L1555" s="1" t="s">
        <v>700</v>
      </c>
      <c r="M1555" s="1" t="s">
        <v>5689</v>
      </c>
      <c r="N1555" s="1" t="s">
        <v>13</v>
      </c>
      <c r="O1555" s="1" t="s">
        <v>5690</v>
      </c>
    </row>
    <row r="1556" spans="1:15" x14ac:dyDescent="0.4">
      <c r="A1556" s="1" t="s">
        <v>5692</v>
      </c>
      <c r="B1556" s="1" t="s">
        <v>5672</v>
      </c>
      <c r="C1556" s="1" t="s">
        <v>5695</v>
      </c>
      <c r="D1556" s="1" t="s">
        <v>5549</v>
      </c>
      <c r="E1556" s="1" t="s">
        <v>8027</v>
      </c>
      <c r="F1556" s="1" t="s">
        <v>17</v>
      </c>
      <c r="G1556" s="4" t="str">
        <f>"07719-1199"</f>
        <v>07719-1199</v>
      </c>
      <c r="H1556" s="1">
        <v>1</v>
      </c>
      <c r="I1556" s="1">
        <v>1.4</v>
      </c>
      <c r="J1556" s="1">
        <v>0</v>
      </c>
      <c r="K1556" s="1">
        <v>0</v>
      </c>
      <c r="L1556" s="1" t="s">
        <v>207</v>
      </c>
      <c r="M1556" s="1" t="s">
        <v>5693</v>
      </c>
      <c r="N1556" s="1" t="s">
        <v>13</v>
      </c>
      <c r="O1556" s="1" t="s">
        <v>5694</v>
      </c>
    </row>
    <row r="1557" spans="1:15" x14ac:dyDescent="0.4">
      <c r="A1557" s="1" t="s">
        <v>1284</v>
      </c>
      <c r="B1557" s="1" t="s">
        <v>1273</v>
      </c>
      <c r="C1557" s="1" t="s">
        <v>1288</v>
      </c>
      <c r="D1557" s="1" t="s">
        <v>1279</v>
      </c>
      <c r="E1557" s="1" t="s">
        <v>8018</v>
      </c>
      <c r="F1557" s="1" t="s">
        <v>17</v>
      </c>
      <c r="G1557" s="4" t="str">
        <f>"07057-1523"</f>
        <v>07057-1523</v>
      </c>
      <c r="H1557" s="1">
        <v>0</v>
      </c>
      <c r="I1557" s="1">
        <v>0</v>
      </c>
      <c r="J1557" s="1">
        <v>0</v>
      </c>
      <c r="K1557" s="1">
        <v>0</v>
      </c>
      <c r="L1557" s="1" t="s">
        <v>1285</v>
      </c>
      <c r="M1557" s="1" t="s">
        <v>1286</v>
      </c>
      <c r="N1557" s="1" t="s">
        <v>13</v>
      </c>
      <c r="O1557" s="1" t="s">
        <v>1287</v>
      </c>
    </row>
    <row r="1558" spans="1:15" x14ac:dyDescent="0.4">
      <c r="A1558" s="1" t="s">
        <v>7402</v>
      </c>
      <c r="B1558" s="1" t="s">
        <v>7402</v>
      </c>
      <c r="C1558" s="1" t="s">
        <v>7404</v>
      </c>
      <c r="D1558" s="1" t="s">
        <v>7405</v>
      </c>
      <c r="E1558" s="1" t="s">
        <v>8030</v>
      </c>
      <c r="F1558" s="1" t="s">
        <v>17</v>
      </c>
      <c r="G1558" s="4" t="str">
        <f>"07419"</f>
        <v>07419</v>
      </c>
      <c r="H1558" s="1">
        <v>0</v>
      </c>
      <c r="I1558" s="1">
        <v>0</v>
      </c>
      <c r="J1558" s="1">
        <v>0</v>
      </c>
      <c r="K1558" s="1">
        <v>0</v>
      </c>
      <c r="L1558" s="1" t="s">
        <v>128</v>
      </c>
      <c r="M1558" s="1" t="s">
        <v>1093</v>
      </c>
      <c r="N1558" s="1" t="s">
        <v>129</v>
      </c>
      <c r="O1558" s="1" t="s">
        <v>7403</v>
      </c>
    </row>
    <row r="1559" spans="1:15" x14ac:dyDescent="0.4">
      <c r="A1559" s="1" t="s">
        <v>7472</v>
      </c>
      <c r="B1559" s="1" t="s">
        <v>7446</v>
      </c>
      <c r="C1559" s="1" t="s">
        <v>7476</v>
      </c>
      <c r="D1559" s="1" t="s">
        <v>7452</v>
      </c>
      <c r="E1559" s="1" t="s">
        <v>7833</v>
      </c>
      <c r="F1559" s="1" t="s">
        <v>17</v>
      </c>
      <c r="G1559" s="4" t="str">
        <f>"07016"</f>
        <v>07016</v>
      </c>
      <c r="H1559" s="1">
        <v>0</v>
      </c>
      <c r="I1559" s="1">
        <v>0</v>
      </c>
      <c r="J1559" s="1">
        <v>79</v>
      </c>
      <c r="K1559" s="1">
        <v>0</v>
      </c>
      <c r="L1559" s="1" t="s">
        <v>7473</v>
      </c>
      <c r="M1559" s="1" t="s">
        <v>7474</v>
      </c>
      <c r="N1559" s="1" t="s">
        <v>13</v>
      </c>
      <c r="O1559" s="1" t="s">
        <v>7475</v>
      </c>
    </row>
    <row r="1560" spans="1:15" x14ac:dyDescent="0.4">
      <c r="A1560" s="1" t="s">
        <v>6521</v>
      </c>
      <c r="B1560" s="1" t="s">
        <v>6474</v>
      </c>
      <c r="C1560" s="1" t="s">
        <v>6523</v>
      </c>
      <c r="D1560" s="1" t="s">
        <v>6399</v>
      </c>
      <c r="E1560" s="1" t="s">
        <v>8028</v>
      </c>
      <c r="F1560" s="1" t="s">
        <v>17</v>
      </c>
      <c r="G1560" s="4" t="str">
        <f>"08753"</f>
        <v>08753</v>
      </c>
      <c r="H1560" s="1">
        <v>0</v>
      </c>
      <c r="I1560" s="1">
        <v>0</v>
      </c>
      <c r="J1560" s="1">
        <v>0</v>
      </c>
      <c r="K1560" s="1">
        <v>107</v>
      </c>
      <c r="L1560" s="1" t="s">
        <v>657</v>
      </c>
      <c r="M1560" s="1" t="s">
        <v>4108</v>
      </c>
      <c r="N1560" s="1" t="s">
        <v>13</v>
      </c>
      <c r="O1560" s="1" t="s">
        <v>6522</v>
      </c>
    </row>
    <row r="1561" spans="1:15" x14ac:dyDescent="0.4">
      <c r="A1561" s="1" t="s">
        <v>4216</v>
      </c>
      <c r="B1561" s="1" t="s">
        <v>4193</v>
      </c>
      <c r="C1561" s="1" t="s">
        <v>4219</v>
      </c>
      <c r="D1561" s="1" t="s">
        <v>4203</v>
      </c>
      <c r="E1561" s="1" t="s">
        <v>8026</v>
      </c>
      <c r="F1561" s="1" t="s">
        <v>17</v>
      </c>
      <c r="G1561" s="4" t="str">
        <f>"08520"</f>
        <v>08520</v>
      </c>
      <c r="H1561" s="1">
        <v>0</v>
      </c>
      <c r="I1561" s="1">
        <v>0</v>
      </c>
      <c r="J1561" s="1">
        <v>0</v>
      </c>
      <c r="K1561" s="1">
        <v>164</v>
      </c>
      <c r="L1561" s="1" t="s">
        <v>714</v>
      </c>
      <c r="M1561" s="1" t="s">
        <v>4217</v>
      </c>
      <c r="N1561" s="1" t="s">
        <v>13</v>
      </c>
      <c r="O1561" s="1" t="s">
        <v>4218</v>
      </c>
    </row>
    <row r="1562" spans="1:15" x14ac:dyDescent="0.4">
      <c r="A1562" s="1" t="s">
        <v>3723</v>
      </c>
      <c r="B1562" s="1" t="s">
        <v>3708</v>
      </c>
      <c r="C1562" s="1" t="s">
        <v>3725</v>
      </c>
      <c r="D1562" s="1" t="s">
        <v>3722</v>
      </c>
      <c r="E1562" s="1" t="s">
        <v>8020</v>
      </c>
      <c r="F1562" s="1" t="s">
        <v>17</v>
      </c>
      <c r="G1562" s="4" t="str">
        <f>"08085"</f>
        <v>08085</v>
      </c>
      <c r="H1562" s="1">
        <v>0</v>
      </c>
      <c r="I1562" s="1">
        <v>0</v>
      </c>
      <c r="J1562" s="1">
        <v>0</v>
      </c>
      <c r="K1562" s="1">
        <v>0</v>
      </c>
      <c r="L1562" s="1" t="s">
        <v>1408</v>
      </c>
      <c r="M1562" s="1" t="s">
        <v>28</v>
      </c>
      <c r="N1562" s="1" t="s">
        <v>13</v>
      </c>
      <c r="O1562" s="1" t="s">
        <v>3724</v>
      </c>
    </row>
    <row r="1563" spans="1:15" x14ac:dyDescent="0.4">
      <c r="A1563" s="1" t="s">
        <v>4849</v>
      </c>
      <c r="B1563" s="1" t="s">
        <v>4808</v>
      </c>
      <c r="C1563" s="1" t="s">
        <v>4852</v>
      </c>
      <c r="D1563" s="1" t="s">
        <v>4813</v>
      </c>
      <c r="E1563" s="1" t="s">
        <v>4704</v>
      </c>
      <c r="F1563" s="1" t="s">
        <v>17</v>
      </c>
      <c r="G1563" s="4" t="str">
        <f>"08857-1819"</f>
        <v>08857-1819</v>
      </c>
      <c r="H1563" s="1">
        <v>0</v>
      </c>
      <c r="I1563" s="1">
        <v>0</v>
      </c>
      <c r="J1563" s="1">
        <v>0</v>
      </c>
      <c r="K1563" s="1">
        <v>43</v>
      </c>
      <c r="L1563" s="1" t="s">
        <v>1133</v>
      </c>
      <c r="M1563" s="1" t="s">
        <v>4850</v>
      </c>
      <c r="N1563" s="1" t="s">
        <v>13</v>
      </c>
      <c r="O1563" s="1" t="s">
        <v>4851</v>
      </c>
    </row>
    <row r="1564" spans="1:15" x14ac:dyDescent="0.4">
      <c r="A1564" s="1" t="s">
        <v>7574</v>
      </c>
      <c r="B1564" s="1" t="s">
        <v>7552</v>
      </c>
      <c r="C1564" s="1" t="s">
        <v>7577</v>
      </c>
      <c r="D1564" s="1" t="s">
        <v>7553</v>
      </c>
      <c r="E1564" s="1" t="s">
        <v>7833</v>
      </c>
      <c r="F1564" s="1" t="s">
        <v>17</v>
      </c>
      <c r="G1564" s="4" t="str">
        <f>"07205-1858"</f>
        <v>07205-1858</v>
      </c>
      <c r="H1564" s="1">
        <v>0</v>
      </c>
      <c r="I1564" s="1">
        <v>0</v>
      </c>
      <c r="J1564" s="1">
        <v>0</v>
      </c>
      <c r="K1564" s="1">
        <v>0</v>
      </c>
      <c r="L1564" s="1" t="s">
        <v>7575</v>
      </c>
      <c r="M1564" s="1" t="s">
        <v>672</v>
      </c>
      <c r="N1564" s="1" t="s">
        <v>13</v>
      </c>
      <c r="O1564" s="1" t="s">
        <v>7576</v>
      </c>
    </row>
    <row r="1565" spans="1:15" x14ac:dyDescent="0.4">
      <c r="A1565" s="1" t="s">
        <v>1241</v>
      </c>
      <c r="B1565" s="1" t="s">
        <v>1219</v>
      </c>
      <c r="C1565" s="1" t="s">
        <v>1245</v>
      </c>
      <c r="D1565" s="1" t="s">
        <v>1224</v>
      </c>
      <c r="E1565" s="1" t="s">
        <v>8018</v>
      </c>
      <c r="F1565" s="1" t="s">
        <v>17</v>
      </c>
      <c r="G1565" s="4" t="str">
        <f>"07670"</f>
        <v>07670</v>
      </c>
      <c r="H1565" s="1">
        <v>4</v>
      </c>
      <c r="I1565" s="1">
        <v>1.3</v>
      </c>
      <c r="J1565" s="1">
        <v>0</v>
      </c>
      <c r="K1565" s="1">
        <v>43</v>
      </c>
      <c r="L1565" s="1" t="s">
        <v>1242</v>
      </c>
      <c r="M1565" s="1" t="s">
        <v>1243</v>
      </c>
      <c r="N1565" s="1" t="s">
        <v>13</v>
      </c>
      <c r="O1565" s="1" t="s">
        <v>1244</v>
      </c>
    </row>
    <row r="1566" spans="1:15" x14ac:dyDescent="0.4">
      <c r="A1566" s="1" t="s">
        <v>6532</v>
      </c>
      <c r="B1566" s="1" t="s">
        <v>6530</v>
      </c>
      <c r="C1566" s="1" t="s">
        <v>6535</v>
      </c>
      <c r="D1566" s="1" t="s">
        <v>6531</v>
      </c>
      <c r="E1566" s="1" t="s">
        <v>2670</v>
      </c>
      <c r="F1566" s="1" t="s">
        <v>17</v>
      </c>
      <c r="G1566" s="4" t="str">
        <f>"07403"</f>
        <v>07403</v>
      </c>
      <c r="H1566" s="1">
        <v>0</v>
      </c>
      <c r="I1566" s="1">
        <v>0</v>
      </c>
      <c r="J1566" s="1">
        <v>0</v>
      </c>
      <c r="K1566" s="1">
        <v>0</v>
      </c>
      <c r="L1566" s="1" t="s">
        <v>158</v>
      </c>
      <c r="M1566" s="1" t="s">
        <v>6533</v>
      </c>
      <c r="N1566" s="1" t="s">
        <v>13</v>
      </c>
      <c r="O1566" s="1" t="s">
        <v>6534</v>
      </c>
    </row>
    <row r="1567" spans="1:15" x14ac:dyDescent="0.4">
      <c r="A1567" s="1" t="s">
        <v>4566</v>
      </c>
      <c r="B1567" s="1" t="s">
        <v>4545</v>
      </c>
      <c r="C1567" s="1" t="s">
        <v>4569</v>
      </c>
      <c r="D1567" s="1" t="s">
        <v>4546</v>
      </c>
      <c r="E1567" s="1" t="s">
        <v>4704</v>
      </c>
      <c r="F1567" s="1" t="s">
        <v>17</v>
      </c>
      <c r="G1567" s="4" t="str">
        <f>"08816"</f>
        <v>08816</v>
      </c>
      <c r="H1567" s="1">
        <v>0</v>
      </c>
      <c r="I1567" s="1">
        <v>0</v>
      </c>
      <c r="J1567" s="1">
        <v>0</v>
      </c>
      <c r="K1567" s="1">
        <v>49</v>
      </c>
      <c r="L1567" s="1" t="s">
        <v>62</v>
      </c>
      <c r="M1567" s="1" t="s">
        <v>4567</v>
      </c>
      <c r="N1567" s="1" t="s">
        <v>13</v>
      </c>
      <c r="O1567" s="1" t="s">
        <v>4568</v>
      </c>
    </row>
    <row r="1568" spans="1:15" x14ac:dyDescent="0.4">
      <c r="A1568" s="1" t="s">
        <v>7995</v>
      </c>
      <c r="B1568" s="1" t="s">
        <v>7995</v>
      </c>
      <c r="C1568" s="1" t="s">
        <v>7997</v>
      </c>
      <c r="D1568" s="1" t="s">
        <v>7908</v>
      </c>
      <c r="E1568" s="1" t="s">
        <v>55</v>
      </c>
      <c r="F1568" s="1" t="s">
        <v>17</v>
      </c>
      <c r="G1568" s="4" t="str">
        <f>"07882-9618"</f>
        <v>07882-9618</v>
      </c>
      <c r="H1568" s="1">
        <v>0</v>
      </c>
      <c r="I1568" s="1">
        <v>0</v>
      </c>
      <c r="J1568" s="1">
        <v>0</v>
      </c>
      <c r="K1568" s="1">
        <v>0</v>
      </c>
      <c r="L1568" s="1" t="s">
        <v>671</v>
      </c>
      <c r="M1568" s="1" t="s">
        <v>6383</v>
      </c>
      <c r="N1568" s="1" t="s">
        <v>13</v>
      </c>
      <c r="O1568" s="1" t="s">
        <v>7996</v>
      </c>
    </row>
    <row r="1569" spans="1:15" x14ac:dyDescent="0.4">
      <c r="A1569" s="1" t="s">
        <v>184</v>
      </c>
      <c r="B1569" s="1" t="s">
        <v>172</v>
      </c>
      <c r="C1569" s="1" t="s">
        <v>188</v>
      </c>
      <c r="D1569" s="1" t="s">
        <v>173</v>
      </c>
      <c r="E1569" s="1" t="s">
        <v>8017</v>
      </c>
      <c r="F1569" s="1" t="s">
        <v>17</v>
      </c>
      <c r="G1569" s="4" t="str">
        <f>"08037-9720"</f>
        <v>08037-9720</v>
      </c>
      <c r="H1569" s="1">
        <v>0</v>
      </c>
      <c r="I1569" s="1">
        <v>0</v>
      </c>
      <c r="J1569" s="1">
        <v>0</v>
      </c>
      <c r="K1569" s="1">
        <v>0</v>
      </c>
      <c r="L1569" s="1" t="s">
        <v>185</v>
      </c>
      <c r="M1569" s="1" t="s">
        <v>186</v>
      </c>
      <c r="N1569" s="1" t="s">
        <v>13</v>
      </c>
      <c r="O1569" s="1" t="s">
        <v>187</v>
      </c>
    </row>
    <row r="1570" spans="1:15" x14ac:dyDescent="0.4">
      <c r="A1570" s="1" t="s">
        <v>7584</v>
      </c>
      <c r="B1570" s="1" t="s">
        <v>7578</v>
      </c>
      <c r="C1570" s="1" t="s">
        <v>7587</v>
      </c>
      <c r="D1570" s="1" t="s">
        <v>7583</v>
      </c>
      <c r="E1570" s="1" t="s">
        <v>7833</v>
      </c>
      <c r="F1570" s="1" t="s">
        <v>17</v>
      </c>
      <c r="G1570" s="4" t="str">
        <f>"07033-1529"</f>
        <v>07033-1529</v>
      </c>
      <c r="H1570" s="1">
        <v>0</v>
      </c>
      <c r="I1570" s="1">
        <v>0</v>
      </c>
      <c r="J1570" s="1">
        <v>0</v>
      </c>
      <c r="K1570" s="1">
        <v>81</v>
      </c>
      <c r="L1570" s="1" t="s">
        <v>1470</v>
      </c>
      <c r="M1570" s="1" t="s">
        <v>7585</v>
      </c>
      <c r="N1570" s="1" t="s">
        <v>13</v>
      </c>
      <c r="O1570" s="1" t="s">
        <v>7586</v>
      </c>
    </row>
    <row r="1571" spans="1:15" x14ac:dyDescent="0.4">
      <c r="A1571" s="1" t="s">
        <v>7999</v>
      </c>
      <c r="B1571" s="1" t="s">
        <v>7998</v>
      </c>
      <c r="C1571" s="1" t="s">
        <v>8002</v>
      </c>
      <c r="D1571" s="1" t="s">
        <v>7908</v>
      </c>
      <c r="E1571" s="1" t="s">
        <v>55</v>
      </c>
      <c r="F1571" s="1" t="s">
        <v>17</v>
      </c>
      <c r="G1571" s="4" t="str">
        <f>"07882"</f>
        <v>07882</v>
      </c>
      <c r="H1571" s="1">
        <v>0</v>
      </c>
      <c r="I1571" s="1">
        <v>0</v>
      </c>
      <c r="J1571" s="1">
        <v>0</v>
      </c>
      <c r="K1571" s="1">
        <v>0</v>
      </c>
      <c r="L1571" s="1" t="s">
        <v>380</v>
      </c>
      <c r="M1571" s="1" t="s">
        <v>8000</v>
      </c>
      <c r="N1571" s="1" t="s">
        <v>13</v>
      </c>
      <c r="O1571" s="1" t="s">
        <v>8001</v>
      </c>
    </row>
    <row r="1572" spans="1:15" x14ac:dyDescent="0.4">
      <c r="A1572" s="1" t="s">
        <v>8003</v>
      </c>
      <c r="B1572" s="1" t="s">
        <v>7998</v>
      </c>
      <c r="C1572" s="1" t="s">
        <v>8006</v>
      </c>
      <c r="D1572" s="1" t="s">
        <v>7908</v>
      </c>
      <c r="E1572" s="1" t="s">
        <v>55</v>
      </c>
      <c r="F1572" s="1" t="s">
        <v>17</v>
      </c>
      <c r="G1572" s="4" t="str">
        <f>"07882"</f>
        <v>07882</v>
      </c>
      <c r="H1572" s="1">
        <v>0</v>
      </c>
      <c r="I1572" s="1">
        <v>0</v>
      </c>
      <c r="J1572" s="1">
        <v>0</v>
      </c>
      <c r="K1572" s="1">
        <v>0</v>
      </c>
      <c r="L1572" s="1" t="s">
        <v>842</v>
      </c>
      <c r="M1572" s="1" t="s">
        <v>8004</v>
      </c>
      <c r="N1572" s="1" t="s">
        <v>13</v>
      </c>
      <c r="O1572" s="1" t="s">
        <v>8005</v>
      </c>
    </row>
    <row r="1573" spans="1:15" x14ac:dyDescent="0.4">
      <c r="A1573" s="1" t="s">
        <v>7268</v>
      </c>
      <c r="B1573" s="1" t="s">
        <v>7261</v>
      </c>
      <c r="C1573" s="1" t="s">
        <v>7271</v>
      </c>
      <c r="D1573" s="1" t="s">
        <v>55</v>
      </c>
      <c r="E1573" s="1" t="s">
        <v>2471</v>
      </c>
      <c r="F1573" s="1" t="s">
        <v>17</v>
      </c>
      <c r="G1573" s="4" t="str">
        <f>"07060-5819"</f>
        <v>07060-5819</v>
      </c>
      <c r="H1573" s="1">
        <v>0</v>
      </c>
      <c r="I1573" s="1">
        <v>0</v>
      </c>
      <c r="J1573" s="1">
        <v>0</v>
      </c>
      <c r="K1573" s="1">
        <v>0</v>
      </c>
      <c r="L1573" s="1" t="s">
        <v>760</v>
      </c>
      <c r="M1573" s="1" t="s">
        <v>7269</v>
      </c>
      <c r="N1573" s="1" t="s">
        <v>13</v>
      </c>
      <c r="O1573" s="1" t="s">
        <v>7270</v>
      </c>
    </row>
    <row r="1574" spans="1:15" x14ac:dyDescent="0.4">
      <c r="A1574" s="1" t="s">
        <v>596</v>
      </c>
      <c r="B1574" s="1" t="s">
        <v>561</v>
      </c>
      <c r="C1574" s="1" t="s">
        <v>600</v>
      </c>
      <c r="D1574" s="1" t="s">
        <v>567</v>
      </c>
      <c r="E1574" s="1" t="s">
        <v>8018</v>
      </c>
      <c r="F1574" s="1" t="s">
        <v>17</v>
      </c>
      <c r="G1574" s="4" t="str">
        <f>"07410-3918"</f>
        <v>07410-3918</v>
      </c>
      <c r="H1574" s="1">
        <v>0</v>
      </c>
      <c r="I1574" s="1">
        <v>0</v>
      </c>
      <c r="J1574" s="1">
        <v>0</v>
      </c>
      <c r="K1574" s="1">
        <v>70</v>
      </c>
      <c r="L1574" s="1" t="s">
        <v>597</v>
      </c>
      <c r="M1574" s="1" t="s">
        <v>598</v>
      </c>
      <c r="N1574" s="1" t="s">
        <v>13</v>
      </c>
      <c r="O1574" s="1" t="s">
        <v>599</v>
      </c>
    </row>
    <row r="1575" spans="1:15" x14ac:dyDescent="0.4">
      <c r="A1575" s="1" t="s">
        <v>242</v>
      </c>
      <c r="B1575" s="1" t="s">
        <v>233</v>
      </c>
      <c r="C1575" s="1" t="s">
        <v>246</v>
      </c>
      <c r="D1575" s="1" t="s">
        <v>234</v>
      </c>
      <c r="E1575" s="1" t="s">
        <v>8017</v>
      </c>
      <c r="F1575" s="1" t="s">
        <v>17</v>
      </c>
      <c r="G1575" s="4" t="str">
        <f>"08232"</f>
        <v>08232</v>
      </c>
      <c r="H1575" s="1">
        <v>0</v>
      </c>
      <c r="I1575" s="1">
        <v>0</v>
      </c>
      <c r="J1575" s="1">
        <v>0</v>
      </c>
      <c r="K1575" s="1">
        <v>54</v>
      </c>
      <c r="L1575" s="1" t="s">
        <v>243</v>
      </c>
      <c r="M1575" s="1" t="s">
        <v>244</v>
      </c>
      <c r="N1575" s="1" t="s">
        <v>13</v>
      </c>
      <c r="O1575" s="1" t="s">
        <v>245</v>
      </c>
    </row>
    <row r="1576" spans="1:15" x14ac:dyDescent="0.4">
      <c r="A1576" s="1" t="s">
        <v>6174</v>
      </c>
      <c r="B1576" s="1" t="s">
        <v>6157</v>
      </c>
      <c r="C1576" s="1" t="s">
        <v>6177</v>
      </c>
      <c r="D1576" s="1" t="s">
        <v>6161</v>
      </c>
      <c r="E1576" s="1" t="s">
        <v>1503</v>
      </c>
      <c r="F1576" s="1" t="s">
        <v>17</v>
      </c>
      <c r="G1576" s="4" t="str">
        <f>"07928"</f>
        <v>07928</v>
      </c>
      <c r="H1576" s="1">
        <v>5</v>
      </c>
      <c r="I1576" s="1">
        <v>1.7</v>
      </c>
      <c r="J1576" s="1">
        <v>0</v>
      </c>
      <c r="K1576" s="1">
        <v>66</v>
      </c>
      <c r="L1576" s="1" t="s">
        <v>1744</v>
      </c>
      <c r="M1576" s="1" t="s">
        <v>6175</v>
      </c>
      <c r="N1576" s="1" t="s">
        <v>13</v>
      </c>
      <c r="O1576" s="1" t="s">
        <v>6176</v>
      </c>
    </row>
    <row r="1577" spans="1:15" x14ac:dyDescent="0.4">
      <c r="A1577" s="1" t="s">
        <v>8008</v>
      </c>
      <c r="B1577" s="1" t="s">
        <v>8007</v>
      </c>
      <c r="C1577" s="1" t="s">
        <v>8010</v>
      </c>
      <c r="D1577" s="1" t="s">
        <v>7908</v>
      </c>
      <c r="E1577" s="1" t="s">
        <v>55</v>
      </c>
      <c r="F1577" s="1" t="s">
        <v>17</v>
      </c>
      <c r="G1577" s="4" t="str">
        <f>"07882"</f>
        <v>07882</v>
      </c>
      <c r="H1577" s="1">
        <v>0</v>
      </c>
      <c r="I1577" s="1">
        <v>0</v>
      </c>
      <c r="J1577" s="1">
        <v>0</v>
      </c>
      <c r="K1577" s="1">
        <v>0</v>
      </c>
      <c r="L1577" s="1" t="s">
        <v>5555</v>
      </c>
      <c r="M1577" s="1" t="s">
        <v>1874</v>
      </c>
      <c r="N1577" s="1" t="s">
        <v>13</v>
      </c>
      <c r="O1577" s="1" t="s">
        <v>8009</v>
      </c>
    </row>
    <row r="1578" spans="1:15" x14ac:dyDescent="0.4">
      <c r="A1578" s="1" t="s">
        <v>3842</v>
      </c>
      <c r="B1578" s="1" t="s">
        <v>3831</v>
      </c>
      <c r="C1578" s="1" t="s">
        <v>3845</v>
      </c>
      <c r="D1578" s="1" t="s">
        <v>3837</v>
      </c>
      <c r="E1578" s="1" t="s">
        <v>3646</v>
      </c>
      <c r="F1578" s="1" t="s">
        <v>17</v>
      </c>
      <c r="G1578" s="4" t="str">
        <f>"07029-2515"</f>
        <v>07029-2515</v>
      </c>
      <c r="H1578" s="1">
        <v>0</v>
      </c>
      <c r="I1578" s="1">
        <v>0</v>
      </c>
      <c r="J1578" s="1">
        <v>0</v>
      </c>
      <c r="K1578" s="1">
        <v>0</v>
      </c>
      <c r="L1578" s="1" t="s">
        <v>11</v>
      </c>
      <c r="M1578" s="1" t="s">
        <v>3843</v>
      </c>
      <c r="N1578" s="1" t="s">
        <v>13</v>
      </c>
      <c r="O1578" s="1" t="s">
        <v>3844</v>
      </c>
    </row>
    <row r="1579" spans="1:15" x14ac:dyDescent="0.4">
      <c r="A1579" s="1" t="s">
        <v>6848</v>
      </c>
      <c r="B1579" s="1" t="s">
        <v>6846</v>
      </c>
      <c r="C1579" s="1" t="s">
        <v>6851</v>
      </c>
      <c r="D1579" s="1" t="s">
        <v>6847</v>
      </c>
      <c r="E1579" s="1" t="s">
        <v>2670</v>
      </c>
      <c r="F1579" s="1" t="s">
        <v>17</v>
      </c>
      <c r="G1579" s="4" t="str">
        <f>"07512-2022"</f>
        <v>07512-2022</v>
      </c>
      <c r="H1579" s="1">
        <v>0</v>
      </c>
      <c r="I1579" s="1">
        <v>0</v>
      </c>
      <c r="J1579" s="1">
        <v>0</v>
      </c>
      <c r="K1579" s="1">
        <v>0</v>
      </c>
      <c r="L1579" s="1" t="s">
        <v>128</v>
      </c>
      <c r="M1579" s="1" t="s">
        <v>6849</v>
      </c>
      <c r="N1579" s="1" t="s">
        <v>13</v>
      </c>
      <c r="O1579" s="1" t="s">
        <v>6850</v>
      </c>
    </row>
    <row r="1580" spans="1:15" x14ac:dyDescent="0.4">
      <c r="A1580" s="1" t="s">
        <v>6524</v>
      </c>
      <c r="B1580" s="1" t="s">
        <v>6474</v>
      </c>
      <c r="C1580" s="1" t="s">
        <v>6526</v>
      </c>
      <c r="D1580" s="1" t="s">
        <v>6399</v>
      </c>
      <c r="E1580" s="1" t="s">
        <v>8028</v>
      </c>
      <c r="F1580" s="1" t="s">
        <v>17</v>
      </c>
      <c r="G1580" s="4" t="str">
        <f>"08753"</f>
        <v>08753</v>
      </c>
      <c r="H1580" s="1">
        <v>0</v>
      </c>
      <c r="I1580" s="1">
        <v>0</v>
      </c>
      <c r="J1580" s="1">
        <v>0</v>
      </c>
      <c r="K1580" s="1">
        <v>49</v>
      </c>
      <c r="L1580" s="1" t="s">
        <v>671</v>
      </c>
      <c r="M1580" s="1" t="s">
        <v>42</v>
      </c>
      <c r="N1580" s="1" t="s">
        <v>13</v>
      </c>
      <c r="O1580" s="1" t="s">
        <v>6525</v>
      </c>
    </row>
    <row r="1581" spans="1:15" x14ac:dyDescent="0.4">
      <c r="A1581" s="1" t="s">
        <v>3767</v>
      </c>
      <c r="B1581" s="1" t="s">
        <v>3741</v>
      </c>
      <c r="C1581" s="1" t="s">
        <v>3769</v>
      </c>
      <c r="D1581" s="1" t="s">
        <v>3580</v>
      </c>
      <c r="E1581" s="1" t="s">
        <v>8020</v>
      </c>
      <c r="F1581" s="1" t="s">
        <v>17</v>
      </c>
      <c r="G1581" s="4" t="str">
        <f>"08080-2700"</f>
        <v>08080-2700</v>
      </c>
      <c r="H1581" s="1">
        <v>0</v>
      </c>
      <c r="I1581" s="1">
        <v>0</v>
      </c>
      <c r="J1581" s="1">
        <v>0</v>
      </c>
      <c r="K1581" s="1">
        <v>0</v>
      </c>
      <c r="L1581" s="1" t="s">
        <v>963</v>
      </c>
      <c r="M1581" s="1" t="s">
        <v>3285</v>
      </c>
      <c r="N1581" s="1" t="s">
        <v>13</v>
      </c>
      <c r="O1581" s="1" t="s">
        <v>3768</v>
      </c>
    </row>
    <row r="1582" spans="1:15" x14ac:dyDescent="0.4">
      <c r="A1582" s="1" t="s">
        <v>3245</v>
      </c>
      <c r="B1582" s="1" t="s">
        <v>3202</v>
      </c>
      <c r="C1582" s="1" t="s">
        <v>3248</v>
      </c>
      <c r="D1582" s="1" t="s">
        <v>3219</v>
      </c>
      <c r="E1582" s="1" t="s">
        <v>8024</v>
      </c>
      <c r="F1582" s="1" t="s">
        <v>17</v>
      </c>
      <c r="G1582" s="4" t="str">
        <f>"07042-4116"</f>
        <v>07042-4116</v>
      </c>
      <c r="H1582" s="1">
        <v>0</v>
      </c>
      <c r="I1582" s="1">
        <v>0</v>
      </c>
      <c r="J1582" s="1">
        <v>0</v>
      </c>
      <c r="K1582" s="1">
        <v>67</v>
      </c>
      <c r="L1582" s="1" t="s">
        <v>632</v>
      </c>
      <c r="M1582" s="1" t="s">
        <v>3246</v>
      </c>
      <c r="N1582" s="1" t="s">
        <v>13</v>
      </c>
      <c r="O1582" s="1" t="s">
        <v>3247</v>
      </c>
    </row>
    <row r="1583" spans="1:15" x14ac:dyDescent="0.4">
      <c r="A1583" s="1" t="s">
        <v>3245</v>
      </c>
      <c r="B1583" s="1" t="s">
        <v>4684</v>
      </c>
      <c r="C1583" s="1" t="s">
        <v>4696</v>
      </c>
      <c r="D1583" s="1" t="s">
        <v>2416</v>
      </c>
      <c r="E1583" s="1" t="s">
        <v>8024</v>
      </c>
      <c r="F1583" s="1" t="s">
        <v>17</v>
      </c>
      <c r="G1583" s="4" t="str">
        <f>"08846"</f>
        <v>08846</v>
      </c>
      <c r="H1583" s="1">
        <v>0</v>
      </c>
      <c r="I1583" s="1">
        <v>0</v>
      </c>
      <c r="J1583" s="1">
        <v>0</v>
      </c>
      <c r="K1583" s="1">
        <v>67</v>
      </c>
      <c r="L1583" s="1" t="s">
        <v>71</v>
      </c>
      <c r="M1583" s="1" t="s">
        <v>4697</v>
      </c>
      <c r="N1583" s="1" t="s">
        <v>13</v>
      </c>
      <c r="O1583" s="1" t="s">
        <v>4698</v>
      </c>
    </row>
    <row r="1584" spans="1:15" x14ac:dyDescent="0.4">
      <c r="A1584" s="1" t="s">
        <v>7282</v>
      </c>
      <c r="B1584" s="1" t="s">
        <v>7281</v>
      </c>
      <c r="C1584" s="1" t="s">
        <v>7285</v>
      </c>
      <c r="D1584" s="1" t="s">
        <v>55</v>
      </c>
      <c r="E1584" s="1" t="s">
        <v>2471</v>
      </c>
      <c r="F1584" s="1" t="s">
        <v>17</v>
      </c>
      <c r="G1584" s="4" t="str">
        <f>"07059-5772"</f>
        <v>07059-5772</v>
      </c>
      <c r="H1584" s="1">
        <v>0</v>
      </c>
      <c r="I1584" s="1">
        <v>0</v>
      </c>
      <c r="J1584" s="1">
        <v>0</v>
      </c>
      <c r="K1584" s="1">
        <v>0</v>
      </c>
      <c r="L1584" s="1" t="s">
        <v>356</v>
      </c>
      <c r="M1584" s="1" t="s">
        <v>7283</v>
      </c>
      <c r="N1584" s="1" t="s">
        <v>13</v>
      </c>
      <c r="O1584" s="1" t="s">
        <v>7284</v>
      </c>
    </row>
    <row r="1585" spans="1:15" x14ac:dyDescent="0.4">
      <c r="A1585" s="1" t="s">
        <v>2287</v>
      </c>
      <c r="B1585" s="1" t="s">
        <v>2281</v>
      </c>
      <c r="C1585" s="1" t="s">
        <v>2290</v>
      </c>
      <c r="D1585" s="1" t="s">
        <v>2291</v>
      </c>
      <c r="E1585" s="1" t="s">
        <v>1909</v>
      </c>
      <c r="F1585" s="1" t="s">
        <v>17</v>
      </c>
      <c r="G1585" s="4" t="str">
        <f>"08089-1816"</f>
        <v>08089-1816</v>
      </c>
      <c r="H1585" s="1">
        <v>0</v>
      </c>
      <c r="I1585" s="1">
        <v>0</v>
      </c>
      <c r="J1585" s="1">
        <v>0</v>
      </c>
      <c r="K1585" s="1">
        <v>0</v>
      </c>
      <c r="L1585" s="1" t="s">
        <v>428</v>
      </c>
      <c r="M1585" s="1" t="s">
        <v>2288</v>
      </c>
      <c r="N1585" s="1" t="s">
        <v>13</v>
      </c>
      <c r="O1585" s="1" t="s">
        <v>2289</v>
      </c>
    </row>
    <row r="1586" spans="1:15" x14ac:dyDescent="0.4">
      <c r="A1586" s="1" t="s">
        <v>2994</v>
      </c>
      <c r="B1586" s="1" t="s">
        <v>2958</v>
      </c>
      <c r="C1586" s="1" t="s">
        <v>2998</v>
      </c>
      <c r="D1586" s="1" t="s">
        <v>2964</v>
      </c>
      <c r="E1586" s="1" t="s">
        <v>8024</v>
      </c>
      <c r="F1586" s="1" t="s">
        <v>17</v>
      </c>
      <c r="G1586" s="4" t="str">
        <f>"07003-3223"</f>
        <v>07003-3223</v>
      </c>
      <c r="H1586" s="1">
        <v>0</v>
      </c>
      <c r="I1586" s="1">
        <v>0</v>
      </c>
      <c r="J1586" s="1">
        <v>0</v>
      </c>
      <c r="K1586" s="1">
        <v>47</v>
      </c>
      <c r="L1586" s="1" t="s">
        <v>2995</v>
      </c>
      <c r="M1586" s="1" t="s">
        <v>2996</v>
      </c>
      <c r="N1586" s="1" t="s">
        <v>13</v>
      </c>
      <c r="O1586" s="1" t="s">
        <v>2997</v>
      </c>
    </row>
    <row r="1587" spans="1:15" x14ac:dyDescent="0.4">
      <c r="A1587" s="1" t="s">
        <v>6909</v>
      </c>
      <c r="B1587" s="1" t="s">
        <v>6857</v>
      </c>
      <c r="C1587" s="1" t="s">
        <v>6912</v>
      </c>
      <c r="D1587" s="1" t="s">
        <v>6682</v>
      </c>
      <c r="E1587" s="1" t="s">
        <v>2670</v>
      </c>
      <c r="F1587" s="1" t="s">
        <v>17</v>
      </c>
      <c r="G1587" s="4" t="str">
        <f>"07470"</f>
        <v>07470</v>
      </c>
      <c r="H1587" s="1">
        <v>0</v>
      </c>
      <c r="I1587" s="1">
        <v>0</v>
      </c>
      <c r="J1587" s="1">
        <v>0</v>
      </c>
      <c r="K1587" s="1">
        <v>0</v>
      </c>
      <c r="L1587" s="1" t="s">
        <v>6200</v>
      </c>
      <c r="M1587" s="1" t="s">
        <v>6910</v>
      </c>
      <c r="N1587" s="1" t="s">
        <v>13</v>
      </c>
      <c r="O1587" s="1" t="s">
        <v>6911</v>
      </c>
    </row>
    <row r="1588" spans="1:15" x14ac:dyDescent="0.4">
      <c r="A1588" s="1" t="s">
        <v>6913</v>
      </c>
      <c r="B1588" s="1" t="s">
        <v>6857</v>
      </c>
      <c r="C1588" s="1" t="s">
        <v>6916</v>
      </c>
      <c r="D1588" s="1" t="s">
        <v>6682</v>
      </c>
      <c r="E1588" s="1" t="s">
        <v>2670</v>
      </c>
      <c r="F1588" s="1" t="s">
        <v>17</v>
      </c>
      <c r="G1588" s="4" t="str">
        <f>"07470"</f>
        <v>07470</v>
      </c>
      <c r="H1588" s="1">
        <v>0</v>
      </c>
      <c r="I1588" s="1">
        <v>0</v>
      </c>
      <c r="J1588" s="1">
        <v>0</v>
      </c>
      <c r="K1588" s="1">
        <v>0</v>
      </c>
      <c r="L1588" s="1" t="s">
        <v>6880</v>
      </c>
      <c r="M1588" s="1" t="s">
        <v>6914</v>
      </c>
      <c r="N1588" s="1" t="s">
        <v>13</v>
      </c>
      <c r="O1588" s="1" t="s">
        <v>6915</v>
      </c>
    </row>
    <row r="1589" spans="1:15" x14ac:dyDescent="0.4">
      <c r="A1589" s="1" t="s">
        <v>3770</v>
      </c>
      <c r="B1589" s="1" t="s">
        <v>3741</v>
      </c>
      <c r="C1589" s="1" t="s">
        <v>3773</v>
      </c>
      <c r="D1589" s="1" t="s">
        <v>3580</v>
      </c>
      <c r="E1589" s="1" t="s">
        <v>8020</v>
      </c>
      <c r="F1589" s="1" t="s">
        <v>17</v>
      </c>
      <c r="G1589" s="4" t="str">
        <f>"08080-9475"</f>
        <v>08080-9475</v>
      </c>
      <c r="H1589" s="1">
        <v>0</v>
      </c>
      <c r="I1589" s="1">
        <v>0</v>
      </c>
      <c r="J1589" s="1">
        <v>0</v>
      </c>
      <c r="K1589" s="1">
        <v>85</v>
      </c>
      <c r="L1589" s="1" t="s">
        <v>3771</v>
      </c>
      <c r="M1589" s="1" t="s">
        <v>2527</v>
      </c>
      <c r="N1589" s="1" t="s">
        <v>241</v>
      </c>
      <c r="O1589" s="1" t="s">
        <v>3772</v>
      </c>
    </row>
    <row r="1590" spans="1:15" x14ac:dyDescent="0.4">
      <c r="A1590" s="1" t="s">
        <v>4035</v>
      </c>
      <c r="B1590" s="1" t="s">
        <v>4029</v>
      </c>
      <c r="C1590" s="1" t="s">
        <v>4038</v>
      </c>
      <c r="D1590" s="1" t="s">
        <v>4030</v>
      </c>
      <c r="E1590" s="1" t="s">
        <v>3646</v>
      </c>
      <c r="F1590" s="1" t="s">
        <v>17</v>
      </c>
      <c r="G1590" s="4" t="str">
        <f>"07086"</f>
        <v>07086</v>
      </c>
      <c r="H1590" s="1">
        <v>0</v>
      </c>
      <c r="I1590" s="1">
        <v>0</v>
      </c>
      <c r="J1590" s="1">
        <v>0</v>
      </c>
      <c r="K1590" s="1">
        <v>0</v>
      </c>
      <c r="L1590" s="1" t="s">
        <v>306</v>
      </c>
      <c r="M1590" s="1" t="s">
        <v>4036</v>
      </c>
      <c r="N1590" s="1" t="s">
        <v>13</v>
      </c>
      <c r="O1590" s="1" t="s">
        <v>4037</v>
      </c>
    </row>
    <row r="1591" spans="1:15" x14ac:dyDescent="0.4">
      <c r="A1591" s="1" t="s">
        <v>3344</v>
      </c>
      <c r="B1591" s="1" t="s">
        <v>3249</v>
      </c>
      <c r="C1591" s="1" t="s">
        <v>3346</v>
      </c>
      <c r="D1591" s="1" t="s">
        <v>2526</v>
      </c>
      <c r="E1591" s="1" t="s">
        <v>8024</v>
      </c>
      <c r="F1591" s="1" t="s">
        <v>17</v>
      </c>
      <c r="G1591" s="4" t="str">
        <f>"07112-1201"</f>
        <v>07112-1201</v>
      </c>
      <c r="H1591" s="1">
        <v>0</v>
      </c>
      <c r="I1591" s="1">
        <v>0</v>
      </c>
      <c r="J1591" s="1">
        <v>0</v>
      </c>
      <c r="K1591" s="1">
        <v>0</v>
      </c>
      <c r="L1591" s="1" t="s">
        <v>1653</v>
      </c>
      <c r="M1591" s="1" t="s">
        <v>40</v>
      </c>
      <c r="N1591" s="1" t="s">
        <v>13</v>
      </c>
      <c r="O1591" s="1" t="s">
        <v>3345</v>
      </c>
    </row>
    <row r="1592" spans="1:15" x14ac:dyDescent="0.4">
      <c r="A1592" s="1" t="s">
        <v>5415</v>
      </c>
      <c r="B1592" s="1" t="s">
        <v>5389</v>
      </c>
      <c r="C1592" s="1" t="s">
        <v>5418</v>
      </c>
      <c r="D1592" s="1" t="s">
        <v>5394</v>
      </c>
      <c r="E1592" s="1" t="s">
        <v>8027</v>
      </c>
      <c r="F1592" s="1" t="s">
        <v>17</v>
      </c>
      <c r="G1592" s="4" t="str">
        <f>"07726"</f>
        <v>07726</v>
      </c>
      <c r="H1592" s="1">
        <v>0</v>
      </c>
      <c r="I1592" s="1">
        <v>0</v>
      </c>
      <c r="J1592" s="1">
        <v>0</v>
      </c>
      <c r="K1592" s="1">
        <v>0</v>
      </c>
      <c r="L1592" s="1" t="s">
        <v>1304</v>
      </c>
      <c r="M1592" s="1" t="s">
        <v>5416</v>
      </c>
      <c r="N1592" s="1" t="s">
        <v>13</v>
      </c>
      <c r="O1592" s="1" t="s">
        <v>5417</v>
      </c>
    </row>
    <row r="1593" spans="1:15" x14ac:dyDescent="0.4">
      <c r="A1593" s="1" t="s">
        <v>3779</v>
      </c>
      <c r="B1593" s="1" t="s">
        <v>3778</v>
      </c>
      <c r="C1593" s="1" t="s">
        <v>3782</v>
      </c>
      <c r="D1593" s="1" t="s">
        <v>3592</v>
      </c>
      <c r="E1593" s="1" t="s">
        <v>8020</v>
      </c>
      <c r="F1593" s="1" t="s">
        <v>17</v>
      </c>
      <c r="G1593" s="4" t="str">
        <f>"08090"</f>
        <v>08090</v>
      </c>
      <c r="H1593" s="1">
        <v>0</v>
      </c>
      <c r="I1593" s="1">
        <v>0</v>
      </c>
      <c r="J1593" s="1">
        <v>0</v>
      </c>
      <c r="K1593" s="1">
        <v>20</v>
      </c>
      <c r="L1593" s="1" t="s">
        <v>1744</v>
      </c>
      <c r="M1593" s="1" t="s">
        <v>3780</v>
      </c>
      <c r="N1593" s="1" t="s">
        <v>91</v>
      </c>
      <c r="O1593" s="1" t="s">
        <v>3781</v>
      </c>
    </row>
    <row r="1594" spans="1:15" x14ac:dyDescent="0.4">
      <c r="A1594" s="1" t="s">
        <v>2820</v>
      </c>
      <c r="B1594" s="1" t="s">
        <v>2797</v>
      </c>
      <c r="C1594" s="1" t="s">
        <v>2823</v>
      </c>
      <c r="D1594" s="1" t="s">
        <v>2802</v>
      </c>
      <c r="E1594" s="1" t="s">
        <v>8023</v>
      </c>
      <c r="F1594" s="1" t="s">
        <v>17</v>
      </c>
      <c r="G1594" s="4" t="str">
        <f>"08302-1388"</f>
        <v>08302-1388</v>
      </c>
      <c r="H1594" s="1">
        <v>0</v>
      </c>
      <c r="I1594" s="1">
        <v>0</v>
      </c>
      <c r="J1594" s="1">
        <v>0</v>
      </c>
      <c r="K1594" s="1">
        <v>55</v>
      </c>
      <c r="L1594" s="1" t="s">
        <v>62</v>
      </c>
      <c r="M1594" s="1" t="s">
        <v>2821</v>
      </c>
      <c r="N1594" s="1" t="s">
        <v>13</v>
      </c>
      <c r="O1594" s="1" t="s">
        <v>2822</v>
      </c>
    </row>
    <row r="1595" spans="1:15" x14ac:dyDescent="0.4">
      <c r="A1595" s="1" t="s">
        <v>5696</v>
      </c>
      <c r="B1595" s="1" t="s">
        <v>5672</v>
      </c>
      <c r="C1595" s="1" t="s">
        <v>5699</v>
      </c>
      <c r="D1595" s="1" t="s">
        <v>5549</v>
      </c>
      <c r="E1595" s="1" t="s">
        <v>8027</v>
      </c>
      <c r="F1595" s="1" t="s">
        <v>17</v>
      </c>
      <c r="G1595" s="4" t="str">
        <f>"07719-1199"</f>
        <v>07719-1199</v>
      </c>
      <c r="H1595" s="1">
        <v>0</v>
      </c>
      <c r="I1595" s="1">
        <v>0</v>
      </c>
      <c r="J1595" s="1">
        <v>0</v>
      </c>
      <c r="K1595" s="1">
        <v>29</v>
      </c>
      <c r="L1595" s="1" t="s">
        <v>267</v>
      </c>
      <c r="M1595" s="1" t="s">
        <v>5697</v>
      </c>
      <c r="N1595" s="1" t="s">
        <v>13</v>
      </c>
      <c r="O1595" s="1" t="s">
        <v>5698</v>
      </c>
    </row>
    <row r="1596" spans="1:15" x14ac:dyDescent="0.4">
      <c r="A1596" s="1" t="s">
        <v>975</v>
      </c>
      <c r="B1596" s="1" t="s">
        <v>954</v>
      </c>
      <c r="C1596" s="1" t="s">
        <v>978</v>
      </c>
      <c r="D1596" s="1" t="s">
        <v>314</v>
      </c>
      <c r="E1596" s="1" t="s">
        <v>8018</v>
      </c>
      <c r="F1596" s="1" t="s">
        <v>17</v>
      </c>
      <c r="G1596" s="4" t="str">
        <f>"07652"</f>
        <v>07652</v>
      </c>
      <c r="H1596" s="1">
        <v>0</v>
      </c>
      <c r="I1596" s="1">
        <v>0</v>
      </c>
      <c r="J1596" s="1">
        <v>0</v>
      </c>
      <c r="K1596" s="1">
        <v>0</v>
      </c>
      <c r="L1596" s="1" t="s">
        <v>385</v>
      </c>
      <c r="M1596" s="1" t="s">
        <v>976</v>
      </c>
      <c r="N1596" s="1" t="s">
        <v>13</v>
      </c>
      <c r="O1596" s="1" t="s">
        <v>977</v>
      </c>
    </row>
    <row r="1597" spans="1:15" x14ac:dyDescent="0.4">
      <c r="A1597" s="1" t="s">
        <v>2396</v>
      </c>
      <c r="B1597" s="1" t="s">
        <v>2395</v>
      </c>
      <c r="C1597" s="1" t="s">
        <v>2398</v>
      </c>
      <c r="D1597" s="1" t="s">
        <v>2399</v>
      </c>
      <c r="E1597" s="1" t="s">
        <v>8021</v>
      </c>
      <c r="F1597" s="1" t="s">
        <v>17</v>
      </c>
      <c r="G1597" s="4" t="str">
        <f>"08204-1199"</f>
        <v>08204-1199</v>
      </c>
      <c r="H1597" s="1">
        <v>0</v>
      </c>
      <c r="I1597" s="1">
        <v>0</v>
      </c>
      <c r="J1597" s="1">
        <v>0</v>
      </c>
      <c r="K1597" s="1">
        <v>6</v>
      </c>
      <c r="L1597" s="1" t="s">
        <v>2312</v>
      </c>
      <c r="M1597" s="1" t="s">
        <v>2313</v>
      </c>
      <c r="N1597" s="1" t="s">
        <v>129</v>
      </c>
      <c r="O1597" s="1" t="s">
        <v>2397</v>
      </c>
    </row>
    <row r="1598" spans="1:15" x14ac:dyDescent="0.4">
      <c r="A1598" s="1" t="s">
        <v>3785</v>
      </c>
      <c r="B1598" s="1" t="s">
        <v>3783</v>
      </c>
      <c r="C1598" s="1" t="s">
        <v>3788</v>
      </c>
      <c r="D1598" s="1" t="s">
        <v>3784</v>
      </c>
      <c r="E1598" s="1" t="s">
        <v>8020</v>
      </c>
      <c r="F1598" s="1" t="s">
        <v>17</v>
      </c>
      <c r="G1598" s="4" t="str">
        <f>"08093"</f>
        <v>08093</v>
      </c>
      <c r="H1598" s="1">
        <v>0</v>
      </c>
      <c r="I1598" s="1">
        <v>0</v>
      </c>
      <c r="J1598" s="1">
        <v>0</v>
      </c>
      <c r="K1598" s="1">
        <v>0</v>
      </c>
      <c r="L1598" s="1" t="s">
        <v>272</v>
      </c>
      <c r="M1598" s="1" t="s">
        <v>3786</v>
      </c>
      <c r="N1598" s="1" t="s">
        <v>13</v>
      </c>
      <c r="O1598" s="1" t="s">
        <v>3787</v>
      </c>
    </row>
    <row r="1599" spans="1:15" x14ac:dyDescent="0.4">
      <c r="A1599" s="1" t="s">
        <v>3790</v>
      </c>
      <c r="B1599" s="1" t="s">
        <v>3783</v>
      </c>
      <c r="C1599" s="1" t="s">
        <v>3793</v>
      </c>
      <c r="D1599" s="1" t="s">
        <v>3784</v>
      </c>
      <c r="E1599" s="1" t="s">
        <v>8020</v>
      </c>
      <c r="F1599" s="1" t="s">
        <v>17</v>
      </c>
      <c r="G1599" s="4" t="str">
        <f>"08066-1925"</f>
        <v>08066-1925</v>
      </c>
      <c r="H1599" s="1">
        <v>0</v>
      </c>
      <c r="I1599" s="1">
        <v>0</v>
      </c>
      <c r="J1599" s="1">
        <v>0</v>
      </c>
      <c r="K1599" s="1">
        <v>0</v>
      </c>
      <c r="L1599" s="1" t="s">
        <v>30</v>
      </c>
      <c r="M1599" s="1" t="s">
        <v>3791</v>
      </c>
      <c r="N1599" s="1" t="s">
        <v>13</v>
      </c>
      <c r="O1599" s="1" t="s">
        <v>3792</v>
      </c>
    </row>
    <row r="1600" spans="1:15" x14ac:dyDescent="0.4">
      <c r="A1600" s="1" t="s">
        <v>6527</v>
      </c>
      <c r="B1600" s="1" t="s">
        <v>6474</v>
      </c>
      <c r="C1600" s="1" t="s">
        <v>6529</v>
      </c>
      <c r="D1600" s="1" t="s">
        <v>6399</v>
      </c>
      <c r="E1600" s="1" t="s">
        <v>8028</v>
      </c>
      <c r="F1600" s="1" t="s">
        <v>17</v>
      </c>
      <c r="G1600" s="4" t="str">
        <f>"08753"</f>
        <v>08753</v>
      </c>
      <c r="H1600" s="1">
        <v>0</v>
      </c>
      <c r="I1600" s="1">
        <v>0</v>
      </c>
      <c r="J1600" s="1">
        <v>0</v>
      </c>
      <c r="K1600" s="1">
        <v>49</v>
      </c>
      <c r="L1600" s="1" t="s">
        <v>1519</v>
      </c>
      <c r="M1600" s="1" t="s">
        <v>171</v>
      </c>
      <c r="N1600" s="1" t="s">
        <v>13</v>
      </c>
      <c r="O1600" s="1" t="s">
        <v>6528</v>
      </c>
    </row>
    <row r="1601" spans="1:15" x14ac:dyDescent="0.4">
      <c r="A1601" s="1" t="s">
        <v>3489</v>
      </c>
      <c r="B1601" s="1" t="s">
        <v>3488</v>
      </c>
      <c r="C1601" s="1" t="s">
        <v>3492</v>
      </c>
      <c r="D1601" s="1" t="s">
        <v>3493</v>
      </c>
      <c r="E1601" s="1" t="s">
        <v>8024</v>
      </c>
      <c r="F1601" s="1" t="s">
        <v>17</v>
      </c>
      <c r="G1601" s="4" t="str">
        <f>"07006"</f>
        <v>07006</v>
      </c>
      <c r="H1601" s="1">
        <v>0</v>
      </c>
      <c r="I1601" s="1">
        <v>0</v>
      </c>
      <c r="J1601" s="1">
        <v>0</v>
      </c>
      <c r="K1601" s="1">
        <v>0</v>
      </c>
      <c r="L1601" s="1" t="s">
        <v>180</v>
      </c>
      <c r="M1601" s="1" t="s">
        <v>3490</v>
      </c>
      <c r="N1601" s="1" t="s">
        <v>13</v>
      </c>
      <c r="O1601" s="1" t="s">
        <v>3491</v>
      </c>
    </row>
    <row r="1602" spans="1:15" x14ac:dyDescent="0.4">
      <c r="A1602" s="1" t="s">
        <v>3494</v>
      </c>
      <c r="B1602" s="1" t="s">
        <v>3488</v>
      </c>
      <c r="C1602" s="1" t="s">
        <v>3492</v>
      </c>
      <c r="D1602" s="1" t="s">
        <v>3493</v>
      </c>
      <c r="E1602" s="1" t="s">
        <v>8024</v>
      </c>
      <c r="F1602" s="1" t="s">
        <v>17</v>
      </c>
      <c r="G1602" s="4" t="str">
        <f>"07006"</f>
        <v>07006</v>
      </c>
      <c r="H1602" s="1">
        <v>0</v>
      </c>
      <c r="I1602" s="1">
        <v>0</v>
      </c>
      <c r="J1602" s="1">
        <v>0</v>
      </c>
      <c r="K1602" s="1">
        <v>0</v>
      </c>
      <c r="L1602" s="1" t="s">
        <v>94</v>
      </c>
      <c r="M1602" s="1" t="s">
        <v>3495</v>
      </c>
      <c r="N1602" s="1" t="s">
        <v>91</v>
      </c>
      <c r="O1602" s="1" t="s">
        <v>3496</v>
      </c>
    </row>
    <row r="1603" spans="1:15" x14ac:dyDescent="0.4">
      <c r="A1603" s="1" t="s">
        <v>6938</v>
      </c>
      <c r="B1603" s="1" t="s">
        <v>6917</v>
      </c>
      <c r="C1603" s="1" t="s">
        <v>6941</v>
      </c>
      <c r="D1603" s="1" t="s">
        <v>6922</v>
      </c>
      <c r="E1603" s="1" t="s">
        <v>2670</v>
      </c>
      <c r="F1603" s="1" t="s">
        <v>17</v>
      </c>
      <c r="G1603" s="4" t="str">
        <f>"07480-3708"</f>
        <v>07480-3708</v>
      </c>
      <c r="H1603" s="1">
        <v>0</v>
      </c>
      <c r="I1603" s="1">
        <v>0</v>
      </c>
      <c r="J1603" s="1">
        <v>0</v>
      </c>
      <c r="K1603" s="1">
        <v>0</v>
      </c>
      <c r="L1603" s="1" t="s">
        <v>1408</v>
      </c>
      <c r="M1603" s="1" t="s">
        <v>6939</v>
      </c>
      <c r="N1603" s="1" t="s">
        <v>13</v>
      </c>
      <c r="O1603" s="1" t="s">
        <v>6940</v>
      </c>
    </row>
    <row r="1604" spans="1:15" x14ac:dyDescent="0.4">
      <c r="A1604" s="1" t="s">
        <v>6184</v>
      </c>
      <c r="B1604" s="1" t="s">
        <v>6183</v>
      </c>
      <c r="C1604" s="1" t="s">
        <v>6187</v>
      </c>
      <c r="D1604" s="1" t="s">
        <v>6188</v>
      </c>
      <c r="E1604" s="1" t="s">
        <v>1503</v>
      </c>
      <c r="F1604" s="1" t="s">
        <v>17</v>
      </c>
      <c r="G1604" s="4" t="str">
        <f>"07930"</f>
        <v>07930</v>
      </c>
      <c r="H1604" s="1">
        <v>0</v>
      </c>
      <c r="I1604" s="1">
        <v>0</v>
      </c>
      <c r="J1604" s="1">
        <v>0</v>
      </c>
      <c r="K1604" s="1">
        <v>0</v>
      </c>
      <c r="L1604" s="1" t="s">
        <v>997</v>
      </c>
      <c r="M1604" s="1" t="s">
        <v>6185</v>
      </c>
      <c r="N1604" s="1" t="s">
        <v>13</v>
      </c>
      <c r="O1604" s="1" t="s">
        <v>6186</v>
      </c>
    </row>
    <row r="1605" spans="1:15" x14ac:dyDescent="0.4">
      <c r="A1605" s="1" t="s">
        <v>6189</v>
      </c>
      <c r="B1605" s="1" t="s">
        <v>6183</v>
      </c>
      <c r="C1605" s="1" t="s">
        <v>6192</v>
      </c>
      <c r="D1605" s="1" t="s">
        <v>5885</v>
      </c>
      <c r="E1605" s="1" t="s">
        <v>1503</v>
      </c>
      <c r="F1605" s="1" t="s">
        <v>17</v>
      </c>
      <c r="G1605" s="4" t="str">
        <f>"07945"</f>
        <v>07945</v>
      </c>
      <c r="H1605" s="1">
        <v>0</v>
      </c>
      <c r="I1605" s="1">
        <v>0</v>
      </c>
      <c r="J1605" s="1">
        <v>0</v>
      </c>
      <c r="K1605" s="1">
        <v>0</v>
      </c>
      <c r="L1605" s="1" t="s">
        <v>178</v>
      </c>
      <c r="M1605" s="1" t="s">
        <v>6190</v>
      </c>
      <c r="N1605" s="1" t="s">
        <v>241</v>
      </c>
      <c r="O1605" s="1" t="s">
        <v>6191</v>
      </c>
    </row>
    <row r="1606" spans="1:15" x14ac:dyDescent="0.4">
      <c r="A1606" s="1" t="s">
        <v>4070</v>
      </c>
      <c r="B1606" s="1" t="s">
        <v>4039</v>
      </c>
      <c r="C1606" s="1" t="s">
        <v>4072</v>
      </c>
      <c r="D1606" s="1" t="s">
        <v>4044</v>
      </c>
      <c r="E1606" s="1" t="s">
        <v>3646</v>
      </c>
      <c r="F1606" s="1" t="s">
        <v>17</v>
      </c>
      <c r="G1606" s="4" t="str">
        <f>"07093-2705"</f>
        <v>07093-2705</v>
      </c>
      <c r="H1606" s="1">
        <v>0</v>
      </c>
      <c r="I1606" s="1">
        <v>0</v>
      </c>
      <c r="J1606" s="1">
        <v>0</v>
      </c>
      <c r="K1606" s="1">
        <v>0</v>
      </c>
      <c r="L1606" s="1" t="s">
        <v>28</v>
      </c>
      <c r="M1606" s="1" t="s">
        <v>645</v>
      </c>
      <c r="N1606" s="1" t="s">
        <v>13</v>
      </c>
      <c r="O1606" s="1" t="s">
        <v>4071</v>
      </c>
    </row>
    <row r="1607" spans="1:15" x14ac:dyDescent="0.4">
      <c r="A1607" s="1" t="s">
        <v>3536</v>
      </c>
      <c r="B1607" s="1" t="s">
        <v>3497</v>
      </c>
      <c r="C1607" s="1" t="s">
        <v>3540</v>
      </c>
      <c r="D1607" s="1" t="s">
        <v>3519</v>
      </c>
      <c r="E1607" s="1" t="s">
        <v>8024</v>
      </c>
      <c r="F1607" s="1" t="s">
        <v>17</v>
      </c>
      <c r="G1607" s="4" t="str">
        <f>"07052-2829"</f>
        <v>07052-2829</v>
      </c>
      <c r="H1607" s="1">
        <v>0</v>
      </c>
      <c r="I1607" s="1">
        <v>0</v>
      </c>
      <c r="J1607" s="1">
        <v>0</v>
      </c>
      <c r="K1607" s="1">
        <v>0</v>
      </c>
      <c r="L1607" s="1" t="s">
        <v>3537</v>
      </c>
      <c r="M1607" s="1" t="s">
        <v>3538</v>
      </c>
      <c r="N1607" s="1" t="s">
        <v>13</v>
      </c>
      <c r="O1607" s="1" t="s">
        <v>3539</v>
      </c>
    </row>
    <row r="1608" spans="1:15" x14ac:dyDescent="0.4">
      <c r="A1608" s="1" t="s">
        <v>991</v>
      </c>
      <c r="B1608" s="1" t="s">
        <v>979</v>
      </c>
      <c r="C1608" s="1" t="s">
        <v>994</v>
      </c>
      <c r="D1608" s="1" t="s">
        <v>984</v>
      </c>
      <c r="E1608" s="1" t="s">
        <v>8018</v>
      </c>
      <c r="F1608" s="1" t="s">
        <v>17</v>
      </c>
      <c r="G1608" s="4" t="str">
        <f>"07656"</f>
        <v>07656</v>
      </c>
      <c r="H1608" s="1">
        <v>2</v>
      </c>
      <c r="I1608" s="1">
        <v>0.6</v>
      </c>
      <c r="J1608" s="1">
        <v>0</v>
      </c>
      <c r="K1608" s="1">
        <v>35</v>
      </c>
      <c r="L1608" s="1" t="s">
        <v>380</v>
      </c>
      <c r="M1608" s="1" t="s">
        <v>992</v>
      </c>
      <c r="N1608" s="1" t="s">
        <v>13</v>
      </c>
      <c r="O1608" s="1" t="s">
        <v>993</v>
      </c>
    </row>
    <row r="1609" spans="1:15" x14ac:dyDescent="0.4">
      <c r="A1609" s="1" t="s">
        <v>3347</v>
      </c>
      <c r="B1609" s="1" t="s">
        <v>3249</v>
      </c>
      <c r="C1609" s="1" t="s">
        <v>3350</v>
      </c>
      <c r="D1609" s="1" t="s">
        <v>2153</v>
      </c>
      <c r="E1609" s="1" t="s">
        <v>8024</v>
      </c>
      <c r="F1609" s="1" t="s">
        <v>17</v>
      </c>
      <c r="G1609" s="4" t="str">
        <f>"07103"</f>
        <v>07103</v>
      </c>
      <c r="H1609" s="1">
        <v>0</v>
      </c>
      <c r="I1609" s="1">
        <v>0</v>
      </c>
      <c r="J1609" s="1">
        <v>0</v>
      </c>
      <c r="K1609" s="1">
        <v>0</v>
      </c>
      <c r="L1609" s="1" t="s">
        <v>3348</v>
      </c>
      <c r="M1609" s="1" t="s">
        <v>2498</v>
      </c>
      <c r="N1609" s="1" t="s">
        <v>13</v>
      </c>
      <c r="O1609" s="1" t="s">
        <v>3349</v>
      </c>
    </row>
    <row r="1610" spans="1:15" x14ac:dyDescent="0.4">
      <c r="A1610" s="1" t="s">
        <v>4512</v>
      </c>
      <c r="B1610" s="1" t="s">
        <v>4483</v>
      </c>
      <c r="C1610" s="1" t="s">
        <v>4515</v>
      </c>
      <c r="D1610" s="1" t="s">
        <v>4488</v>
      </c>
      <c r="E1610" s="1" t="s">
        <v>8026</v>
      </c>
      <c r="F1610" s="1" t="s">
        <v>17</v>
      </c>
      <c r="G1610" s="4" t="str">
        <f>"08536"</f>
        <v>08536</v>
      </c>
      <c r="H1610" s="1">
        <v>0</v>
      </c>
      <c r="I1610" s="1">
        <v>0</v>
      </c>
      <c r="J1610" s="1">
        <v>0</v>
      </c>
      <c r="K1610" s="1">
        <v>0</v>
      </c>
      <c r="L1610" s="1" t="s">
        <v>4513</v>
      </c>
      <c r="M1610" s="1" t="s">
        <v>40</v>
      </c>
      <c r="N1610" s="1" t="s">
        <v>13</v>
      </c>
      <c r="O1610" s="1" t="s">
        <v>4514</v>
      </c>
    </row>
    <row r="1611" spans="1:15" x14ac:dyDescent="0.4">
      <c r="A1611" s="1" t="s">
        <v>4516</v>
      </c>
      <c r="B1611" s="1" t="s">
        <v>4483</v>
      </c>
      <c r="C1611" s="1" t="s">
        <v>4519</v>
      </c>
      <c r="D1611" s="1" t="s">
        <v>4493</v>
      </c>
      <c r="E1611" s="1" t="s">
        <v>8026</v>
      </c>
      <c r="F1611" s="1" t="s">
        <v>17</v>
      </c>
      <c r="G1611" s="4" t="str">
        <f>"08550"</f>
        <v>08550</v>
      </c>
      <c r="H1611" s="1">
        <v>0</v>
      </c>
      <c r="I1611" s="1">
        <v>0</v>
      </c>
      <c r="J1611" s="1">
        <v>0</v>
      </c>
      <c r="K1611" s="1">
        <v>0</v>
      </c>
      <c r="L1611" s="1" t="s">
        <v>18</v>
      </c>
      <c r="M1611" s="1" t="s">
        <v>4517</v>
      </c>
      <c r="N1611" s="1" t="s">
        <v>13</v>
      </c>
      <c r="O1611" s="1" t="s">
        <v>4518</v>
      </c>
    </row>
    <row r="1612" spans="1:15" x14ac:dyDescent="0.4">
      <c r="A1612" s="1" t="s">
        <v>1764</v>
      </c>
      <c r="B1612" s="1" t="s">
        <v>1762</v>
      </c>
      <c r="C1612" s="1" t="s">
        <v>1768</v>
      </c>
      <c r="D1612" s="1" t="s">
        <v>1399</v>
      </c>
      <c r="E1612" s="1" t="s">
        <v>8019</v>
      </c>
      <c r="F1612" s="1" t="s">
        <v>17</v>
      </c>
      <c r="G1612" s="4" t="str">
        <f>"08060-9601"</f>
        <v>08060-9601</v>
      </c>
      <c r="H1612" s="1">
        <v>0</v>
      </c>
      <c r="I1612" s="1">
        <v>0</v>
      </c>
      <c r="J1612" s="1">
        <v>0</v>
      </c>
      <c r="K1612" s="1">
        <v>0</v>
      </c>
      <c r="L1612" s="1" t="s">
        <v>1765</v>
      </c>
      <c r="M1612" s="1" t="s">
        <v>1766</v>
      </c>
      <c r="N1612" s="1" t="s">
        <v>13</v>
      </c>
      <c r="O1612" s="1" t="s">
        <v>1767</v>
      </c>
    </row>
    <row r="1613" spans="1:15" x14ac:dyDescent="0.4">
      <c r="A1613" s="1" t="s">
        <v>7879</v>
      </c>
      <c r="B1613" s="1" t="s">
        <v>7862</v>
      </c>
      <c r="C1613" s="1" t="s">
        <v>7882</v>
      </c>
      <c r="D1613" s="1" t="s">
        <v>7828</v>
      </c>
      <c r="E1613" s="1" t="s">
        <v>7833</v>
      </c>
      <c r="F1613" s="1" t="s">
        <v>17</v>
      </c>
      <c r="G1613" s="4" t="str">
        <f>"07090-3302"</f>
        <v>07090-3302</v>
      </c>
      <c r="H1613" s="1">
        <v>0</v>
      </c>
      <c r="I1613" s="1">
        <v>0</v>
      </c>
      <c r="J1613" s="1">
        <v>0</v>
      </c>
      <c r="K1613" s="1">
        <v>0</v>
      </c>
      <c r="L1613" s="1" t="s">
        <v>20</v>
      </c>
      <c r="M1613" s="1" t="s">
        <v>7880</v>
      </c>
      <c r="N1613" s="1" t="s">
        <v>13</v>
      </c>
      <c r="O1613" s="1" t="s">
        <v>7881</v>
      </c>
    </row>
    <row r="1614" spans="1:15" x14ac:dyDescent="0.4">
      <c r="A1614" s="1" t="s">
        <v>7823</v>
      </c>
      <c r="B1614" s="1" t="s">
        <v>7808</v>
      </c>
      <c r="C1614" s="1" t="s">
        <v>7827</v>
      </c>
      <c r="D1614" s="1" t="s">
        <v>7828</v>
      </c>
      <c r="E1614" s="1" t="s">
        <v>7833</v>
      </c>
      <c r="F1614" s="1" t="s">
        <v>17</v>
      </c>
      <c r="G1614" s="4" t="str">
        <f>"07090"</f>
        <v>07090</v>
      </c>
      <c r="H1614" s="1">
        <v>0</v>
      </c>
      <c r="I1614" s="1">
        <v>0</v>
      </c>
      <c r="J1614" s="1">
        <v>0</v>
      </c>
      <c r="K1614" s="1">
        <v>0</v>
      </c>
      <c r="L1614" s="1" t="s">
        <v>7824</v>
      </c>
      <c r="M1614" s="1" t="s">
        <v>7825</v>
      </c>
      <c r="N1614" s="1" t="s">
        <v>13</v>
      </c>
      <c r="O1614" s="1" t="s">
        <v>7826</v>
      </c>
    </row>
    <row r="1615" spans="1:15" x14ac:dyDescent="0.4">
      <c r="A1615" s="1" t="s">
        <v>1305</v>
      </c>
      <c r="B1615" s="1" t="s">
        <v>1289</v>
      </c>
      <c r="C1615" s="1" t="s">
        <v>1308</v>
      </c>
      <c r="D1615" s="1" t="s">
        <v>1294</v>
      </c>
      <c r="E1615" s="1" t="s">
        <v>8018</v>
      </c>
      <c r="F1615" s="1" t="s">
        <v>17</v>
      </c>
      <c r="G1615" s="4" t="str">
        <f>"07675-3331"</f>
        <v>07675-3331</v>
      </c>
      <c r="H1615" s="1">
        <v>0</v>
      </c>
      <c r="I1615" s="1">
        <v>0</v>
      </c>
      <c r="J1615" s="1">
        <v>0</v>
      </c>
      <c r="K1615" s="1">
        <v>0</v>
      </c>
      <c r="L1615" s="1" t="s">
        <v>43</v>
      </c>
      <c r="M1615" s="1" t="s">
        <v>1306</v>
      </c>
      <c r="N1615" s="1" t="s">
        <v>13</v>
      </c>
      <c r="O1615" s="1" t="s">
        <v>1307</v>
      </c>
    </row>
    <row r="1616" spans="1:15" x14ac:dyDescent="0.4">
      <c r="A1616" s="1" t="s">
        <v>5788</v>
      </c>
      <c r="B1616" s="1" t="s">
        <v>5783</v>
      </c>
      <c r="C1616" s="1" t="s">
        <v>5790</v>
      </c>
      <c r="D1616" s="1" t="s">
        <v>5791</v>
      </c>
      <c r="E1616" s="1" t="s">
        <v>1503</v>
      </c>
      <c r="F1616" s="1" t="s">
        <v>17</v>
      </c>
      <c r="G1616" s="4" t="str">
        <f>"07981-1741"</f>
        <v>07981-1741</v>
      </c>
      <c r="H1616" s="1">
        <v>0</v>
      </c>
      <c r="I1616" s="1">
        <v>0</v>
      </c>
      <c r="J1616" s="1">
        <v>0</v>
      </c>
      <c r="K1616" s="1">
        <v>0</v>
      </c>
      <c r="L1616" s="1" t="s">
        <v>380</v>
      </c>
      <c r="M1616" s="1" t="s">
        <v>28</v>
      </c>
      <c r="N1616" s="1" t="s">
        <v>13</v>
      </c>
      <c r="O1616" s="1" t="s">
        <v>5789</v>
      </c>
    </row>
    <row r="1617" spans="1:15" x14ac:dyDescent="0.4">
      <c r="A1617" s="1" t="s">
        <v>5828</v>
      </c>
      <c r="B1617" s="1" t="s">
        <v>5813</v>
      </c>
      <c r="C1617" s="1" t="s">
        <v>5831</v>
      </c>
      <c r="D1617" s="1" t="s">
        <v>5819</v>
      </c>
      <c r="E1617" s="1" t="s">
        <v>1503</v>
      </c>
      <c r="F1617" s="1" t="s">
        <v>17</v>
      </c>
      <c r="G1617" s="4" t="str">
        <f>"07438-9515"</f>
        <v>07438-9515</v>
      </c>
      <c r="H1617" s="1">
        <v>0</v>
      </c>
      <c r="I1617" s="1">
        <v>0</v>
      </c>
      <c r="J1617" s="1">
        <v>0</v>
      </c>
      <c r="K1617" s="1">
        <v>0</v>
      </c>
      <c r="L1617" s="1" t="s">
        <v>997</v>
      </c>
      <c r="M1617" s="1" t="s">
        <v>5829</v>
      </c>
      <c r="N1617" s="1" t="s">
        <v>13</v>
      </c>
      <c r="O1617" s="1" t="s">
        <v>5830</v>
      </c>
    </row>
    <row r="1618" spans="1:15" x14ac:dyDescent="0.4">
      <c r="A1618" s="1" t="s">
        <v>3774</v>
      </c>
      <c r="B1618" s="1" t="s">
        <v>3741</v>
      </c>
      <c r="C1618" s="1" t="s">
        <v>3777</v>
      </c>
      <c r="D1618" s="1" t="s">
        <v>3747</v>
      </c>
      <c r="E1618" s="1" t="s">
        <v>8020</v>
      </c>
      <c r="F1618" s="1" t="s">
        <v>17</v>
      </c>
      <c r="G1618" s="4" t="str">
        <f>"08012-1186"</f>
        <v>08012-1186</v>
      </c>
      <c r="H1618" s="1">
        <v>0</v>
      </c>
      <c r="I1618" s="1">
        <v>0</v>
      </c>
      <c r="J1618" s="1">
        <v>0</v>
      </c>
      <c r="K1618" s="1">
        <v>101</v>
      </c>
      <c r="L1618" s="1" t="s">
        <v>258</v>
      </c>
      <c r="M1618" s="1" t="s">
        <v>3775</v>
      </c>
      <c r="N1618" s="1" t="s">
        <v>13</v>
      </c>
      <c r="O1618" s="1" t="s">
        <v>3776</v>
      </c>
    </row>
    <row r="1619" spans="1:15" x14ac:dyDescent="0.4">
      <c r="A1619" s="1" t="s">
        <v>7088</v>
      </c>
      <c r="B1619" s="1" t="s">
        <v>7078</v>
      </c>
      <c r="C1619" s="1" t="s">
        <v>7091</v>
      </c>
      <c r="D1619" s="1" t="s">
        <v>7092</v>
      </c>
      <c r="E1619" s="1" t="s">
        <v>2471</v>
      </c>
      <c r="F1619" s="1" t="s">
        <v>17</v>
      </c>
      <c r="G1619" s="4" t="str">
        <f>"08853"</f>
        <v>08853</v>
      </c>
      <c r="H1619" s="1">
        <v>0</v>
      </c>
      <c r="I1619" s="1">
        <v>0</v>
      </c>
      <c r="J1619" s="1">
        <v>0</v>
      </c>
      <c r="K1619" s="1">
        <v>135</v>
      </c>
      <c r="L1619" s="1" t="s">
        <v>443</v>
      </c>
      <c r="M1619" s="1" t="s">
        <v>7089</v>
      </c>
      <c r="N1619" s="1" t="s">
        <v>13</v>
      </c>
      <c r="O1619" s="1" t="s">
        <v>7090</v>
      </c>
    </row>
    <row r="1620" spans="1:15" x14ac:dyDescent="0.4">
      <c r="A1620" s="1" t="s">
        <v>1375</v>
      </c>
      <c r="B1620" s="1" t="s">
        <v>1363</v>
      </c>
      <c r="C1620" s="1" t="s">
        <v>1378</v>
      </c>
      <c r="D1620" s="1" t="s">
        <v>1347</v>
      </c>
      <c r="E1620" s="1" t="s">
        <v>8019</v>
      </c>
      <c r="F1620" s="1" t="s">
        <v>17</v>
      </c>
      <c r="G1620" s="4" t="str">
        <f>"08016"</f>
        <v>08016</v>
      </c>
      <c r="H1620" s="1">
        <v>0</v>
      </c>
      <c r="I1620" s="1">
        <v>0</v>
      </c>
      <c r="J1620" s="1">
        <v>0</v>
      </c>
      <c r="K1620" s="1">
        <v>0</v>
      </c>
      <c r="L1620" s="1" t="s">
        <v>306</v>
      </c>
      <c r="M1620" s="1" t="s">
        <v>1376</v>
      </c>
      <c r="N1620" s="1" t="s">
        <v>13</v>
      </c>
      <c r="O1620" s="1" t="s">
        <v>1377</v>
      </c>
    </row>
    <row r="1621" spans="1:15" x14ac:dyDescent="0.4">
      <c r="A1621" s="1" t="s">
        <v>6026</v>
      </c>
      <c r="B1621" s="1" t="s">
        <v>6017</v>
      </c>
      <c r="C1621" s="1" t="s">
        <v>6028</v>
      </c>
      <c r="D1621" s="1" t="s">
        <v>6021</v>
      </c>
      <c r="E1621" s="1" t="s">
        <v>1503</v>
      </c>
      <c r="F1621" s="1" t="s">
        <v>17</v>
      </c>
      <c r="G1621" s="4" t="str">
        <f>"07046"</f>
        <v>07046</v>
      </c>
      <c r="H1621" s="1">
        <v>0</v>
      </c>
      <c r="I1621" s="1">
        <v>0</v>
      </c>
      <c r="J1621" s="1">
        <v>0</v>
      </c>
      <c r="K1621" s="1">
        <v>62</v>
      </c>
      <c r="L1621" s="1" t="s">
        <v>632</v>
      </c>
      <c r="M1621" s="1" t="s">
        <v>498</v>
      </c>
      <c r="N1621" s="1" t="s">
        <v>13</v>
      </c>
      <c r="O1621" s="1" t="s">
        <v>6027</v>
      </c>
    </row>
    <row r="1622" spans="1:15" x14ac:dyDescent="0.4">
      <c r="A1622" s="1" t="s">
        <v>2402</v>
      </c>
      <c r="B1622" s="1" t="s">
        <v>2400</v>
      </c>
      <c r="C1622" s="1" t="s">
        <v>2406</v>
      </c>
      <c r="D1622" s="1" t="s">
        <v>2401</v>
      </c>
      <c r="E1622" s="1" t="s">
        <v>8021</v>
      </c>
      <c r="F1622" s="1" t="s">
        <v>17</v>
      </c>
      <c r="G1622" s="4" t="str">
        <f>"08260"</f>
        <v>08260</v>
      </c>
      <c r="H1622" s="1">
        <v>0</v>
      </c>
      <c r="I1622" s="1">
        <v>0</v>
      </c>
      <c r="J1622" s="1">
        <v>0</v>
      </c>
      <c r="K1622" s="1">
        <v>0</v>
      </c>
      <c r="L1622" s="1" t="s">
        <v>2403</v>
      </c>
      <c r="M1622" s="1" t="s">
        <v>2404</v>
      </c>
      <c r="N1622" s="1" t="s">
        <v>13</v>
      </c>
      <c r="O1622" s="1" t="s">
        <v>2405</v>
      </c>
    </row>
    <row r="1623" spans="1:15" x14ac:dyDescent="0.4">
      <c r="A1623" s="1" t="s">
        <v>2409</v>
      </c>
      <c r="B1623" s="1" t="s">
        <v>2400</v>
      </c>
      <c r="C1623" s="1" t="s">
        <v>2406</v>
      </c>
      <c r="D1623" s="1" t="s">
        <v>2401</v>
      </c>
      <c r="E1623" s="1" t="s">
        <v>8021</v>
      </c>
      <c r="F1623" s="1" t="s">
        <v>17</v>
      </c>
      <c r="G1623" s="4" t="str">
        <f>"08260"</f>
        <v>08260</v>
      </c>
      <c r="H1623" s="1">
        <v>0</v>
      </c>
      <c r="I1623" s="1">
        <v>0</v>
      </c>
      <c r="J1623" s="1">
        <v>0</v>
      </c>
      <c r="K1623" s="1">
        <v>0</v>
      </c>
      <c r="L1623" s="1" t="s">
        <v>2403</v>
      </c>
      <c r="M1623" s="1" t="s">
        <v>2404</v>
      </c>
      <c r="N1623" s="1" t="s">
        <v>13</v>
      </c>
      <c r="O1623" s="1" t="s">
        <v>2405</v>
      </c>
    </row>
    <row r="1624" spans="1:15" x14ac:dyDescent="0.4">
      <c r="A1624" s="1" t="s">
        <v>1096</v>
      </c>
      <c r="B1624" s="1" t="s">
        <v>1058</v>
      </c>
      <c r="C1624" s="1" t="s">
        <v>1099</v>
      </c>
      <c r="D1624" s="1" t="s">
        <v>1063</v>
      </c>
      <c r="E1624" s="1" t="s">
        <v>8018</v>
      </c>
      <c r="F1624" s="1" t="s">
        <v>17</v>
      </c>
      <c r="G1624" s="4" t="str">
        <f>"07451"</f>
        <v>07451</v>
      </c>
      <c r="H1624" s="1">
        <v>0</v>
      </c>
      <c r="I1624" s="1">
        <v>0</v>
      </c>
      <c r="J1624" s="1">
        <v>0</v>
      </c>
      <c r="K1624" s="1">
        <v>62</v>
      </c>
      <c r="L1624" s="1" t="s">
        <v>1097</v>
      </c>
      <c r="M1624" s="1" t="s">
        <v>271</v>
      </c>
      <c r="N1624" s="1" t="s">
        <v>13</v>
      </c>
      <c r="O1624" s="1" t="s">
        <v>1098</v>
      </c>
    </row>
    <row r="1625" spans="1:15" x14ac:dyDescent="0.4">
      <c r="A1625" s="1" t="s">
        <v>4853</v>
      </c>
      <c r="B1625" s="1" t="s">
        <v>4808</v>
      </c>
      <c r="C1625" s="1" t="s">
        <v>4857</v>
      </c>
      <c r="D1625" s="1" t="s">
        <v>4813</v>
      </c>
      <c r="E1625" s="1" t="s">
        <v>4704</v>
      </c>
      <c r="F1625" s="1" t="s">
        <v>17</v>
      </c>
      <c r="G1625" s="4" t="str">
        <f>"08857"</f>
        <v>08857</v>
      </c>
      <c r="H1625" s="1">
        <v>0</v>
      </c>
      <c r="I1625" s="1">
        <v>0</v>
      </c>
      <c r="J1625" s="1">
        <v>0</v>
      </c>
      <c r="K1625" s="1">
        <v>45</v>
      </c>
      <c r="L1625" s="1" t="s">
        <v>4854</v>
      </c>
      <c r="M1625" s="1" t="s">
        <v>4855</v>
      </c>
      <c r="N1625" s="1" t="s">
        <v>13</v>
      </c>
      <c r="O1625" s="1" t="s">
        <v>4856</v>
      </c>
    </row>
    <row r="1626" spans="1:15" x14ac:dyDescent="0.4">
      <c r="A1626" s="1" t="s">
        <v>1600</v>
      </c>
      <c r="B1626" s="1" t="s">
        <v>1580</v>
      </c>
      <c r="C1626" s="1" t="s">
        <v>1604</v>
      </c>
      <c r="D1626" s="1" t="s">
        <v>1585</v>
      </c>
      <c r="E1626" s="1" t="s">
        <v>8019</v>
      </c>
      <c r="F1626" s="1" t="s">
        <v>17</v>
      </c>
      <c r="G1626" s="4" t="str">
        <f>"08057"</f>
        <v>08057</v>
      </c>
      <c r="H1626" s="1">
        <v>0</v>
      </c>
      <c r="I1626" s="1">
        <v>0</v>
      </c>
      <c r="J1626" s="1">
        <v>0</v>
      </c>
      <c r="K1626" s="1">
        <v>0</v>
      </c>
      <c r="L1626" s="1" t="s">
        <v>1601</v>
      </c>
      <c r="M1626" s="1" t="s">
        <v>1602</v>
      </c>
      <c r="N1626" s="1" t="s">
        <v>13</v>
      </c>
      <c r="O1626" s="1" t="s">
        <v>1603</v>
      </c>
    </row>
    <row r="1627" spans="1:15" x14ac:dyDescent="0.4">
      <c r="A1627" s="1" t="s">
        <v>7059</v>
      </c>
      <c r="B1627" s="1" t="s">
        <v>7043</v>
      </c>
      <c r="C1627" s="1" t="s">
        <v>7062</v>
      </c>
      <c r="D1627" s="1" t="s">
        <v>7047</v>
      </c>
      <c r="E1627" s="1" t="s">
        <v>2471</v>
      </c>
      <c r="F1627" s="1" t="s">
        <v>17</v>
      </c>
      <c r="G1627" s="4" t="str">
        <f>"07920-2245"</f>
        <v>07920-2245</v>
      </c>
      <c r="H1627" s="1">
        <v>0</v>
      </c>
      <c r="I1627" s="1">
        <v>0</v>
      </c>
      <c r="J1627" s="1">
        <v>0</v>
      </c>
      <c r="K1627" s="1">
        <v>0</v>
      </c>
      <c r="L1627" s="1" t="s">
        <v>71</v>
      </c>
      <c r="M1627" s="1" t="s">
        <v>7060</v>
      </c>
      <c r="N1627" s="1" t="s">
        <v>13</v>
      </c>
      <c r="O1627" s="1" t="s">
        <v>7061</v>
      </c>
    </row>
    <row r="1628" spans="1:15" x14ac:dyDescent="0.4">
      <c r="A1628" s="1" t="s">
        <v>6669</v>
      </c>
      <c r="B1628" s="1" t="s">
        <v>6622</v>
      </c>
      <c r="C1628" s="1" t="s">
        <v>6672</v>
      </c>
      <c r="D1628" s="1" t="s">
        <v>2670</v>
      </c>
      <c r="E1628" s="1" t="s">
        <v>2670</v>
      </c>
      <c r="F1628" s="1" t="s">
        <v>17</v>
      </c>
      <c r="G1628" s="4" t="str">
        <f>"07055"</f>
        <v>07055</v>
      </c>
      <c r="H1628" s="1">
        <v>0</v>
      </c>
      <c r="I1628" s="1">
        <v>0</v>
      </c>
      <c r="J1628" s="1">
        <v>0</v>
      </c>
      <c r="K1628" s="1">
        <v>90</v>
      </c>
      <c r="L1628" s="1" t="s">
        <v>715</v>
      </c>
      <c r="M1628" s="1" t="s">
        <v>6670</v>
      </c>
      <c r="N1628" s="1" t="s">
        <v>13</v>
      </c>
      <c r="O1628" s="1" t="s">
        <v>6671</v>
      </c>
    </row>
    <row r="1629" spans="1:15" x14ac:dyDescent="0.4">
      <c r="A1629" s="1" t="s">
        <v>4896</v>
      </c>
      <c r="B1629" s="1" t="s">
        <v>4858</v>
      </c>
      <c r="C1629" s="1" t="s">
        <v>4899</v>
      </c>
      <c r="D1629" s="1" t="s">
        <v>4719</v>
      </c>
      <c r="E1629" s="1" t="s">
        <v>4704</v>
      </c>
      <c r="F1629" s="1" t="s">
        <v>17</v>
      </c>
      <c r="G1629" s="4" t="str">
        <f>"08861-4347"</f>
        <v>08861-4347</v>
      </c>
      <c r="H1629" s="1">
        <v>0</v>
      </c>
      <c r="I1629" s="1">
        <v>0</v>
      </c>
      <c r="J1629" s="1">
        <v>0</v>
      </c>
      <c r="K1629" s="1">
        <v>0</v>
      </c>
      <c r="L1629" s="1" t="s">
        <v>128</v>
      </c>
      <c r="M1629" s="1" t="s">
        <v>4897</v>
      </c>
      <c r="N1629" s="1" t="s">
        <v>13</v>
      </c>
      <c r="O1629" s="1" t="s">
        <v>4898</v>
      </c>
    </row>
    <row r="1630" spans="1:15" x14ac:dyDescent="0.4">
      <c r="A1630" s="1" t="s">
        <v>2122</v>
      </c>
      <c r="B1630" s="1" t="s">
        <v>2099</v>
      </c>
      <c r="C1630" s="1" t="s">
        <v>2125</v>
      </c>
      <c r="D1630" s="1" t="s">
        <v>2108</v>
      </c>
      <c r="E1630" s="1" t="s">
        <v>1909</v>
      </c>
      <c r="F1630" s="1" t="s">
        <v>17</v>
      </c>
      <c r="G1630" s="4" t="str">
        <f>"08108"</f>
        <v>08108</v>
      </c>
      <c r="H1630" s="1">
        <v>0</v>
      </c>
      <c r="I1630" s="1">
        <v>0</v>
      </c>
      <c r="J1630" s="1">
        <v>0</v>
      </c>
      <c r="K1630" s="1">
        <v>0</v>
      </c>
      <c r="L1630" s="1" t="s">
        <v>836</v>
      </c>
      <c r="M1630" s="1" t="s">
        <v>2123</v>
      </c>
      <c r="N1630" s="1" t="s">
        <v>13</v>
      </c>
      <c r="O1630" s="1" t="s">
        <v>2124</v>
      </c>
    </row>
    <row r="1631" spans="1:15" x14ac:dyDescent="0.4">
      <c r="A1631" s="1" t="s">
        <v>213</v>
      </c>
      <c r="B1631" s="1" t="s">
        <v>205</v>
      </c>
      <c r="C1631" s="1" t="s">
        <v>216</v>
      </c>
      <c r="D1631" s="1" t="s">
        <v>211</v>
      </c>
      <c r="E1631" s="1" t="s">
        <v>8017</v>
      </c>
      <c r="F1631" s="1" t="s">
        <v>17</v>
      </c>
      <c r="G1631" s="4" t="str">
        <f>"08402"</f>
        <v>08402</v>
      </c>
      <c r="H1631" s="1">
        <v>0</v>
      </c>
      <c r="I1631" s="1">
        <v>0</v>
      </c>
      <c r="J1631" s="1">
        <v>0</v>
      </c>
      <c r="K1631" s="1">
        <v>38</v>
      </c>
      <c r="L1631" s="1" t="s">
        <v>151</v>
      </c>
      <c r="M1631" s="1" t="s">
        <v>214</v>
      </c>
      <c r="N1631" s="1" t="s">
        <v>13</v>
      </c>
      <c r="O1631" s="1" t="s">
        <v>215</v>
      </c>
    </row>
    <row r="1632" spans="1:15" x14ac:dyDescent="0.4">
      <c r="A1632" s="1" t="s">
        <v>4479</v>
      </c>
      <c r="B1632" s="1" t="s">
        <v>4393</v>
      </c>
      <c r="C1632" s="1" t="s">
        <v>4482</v>
      </c>
      <c r="D1632" s="1" t="s">
        <v>2600</v>
      </c>
      <c r="E1632" s="1" t="s">
        <v>8026</v>
      </c>
      <c r="F1632" s="1" t="s">
        <v>17</v>
      </c>
      <c r="G1632" s="4" t="str">
        <f>"08611"</f>
        <v>08611</v>
      </c>
      <c r="H1632" s="1">
        <v>0</v>
      </c>
      <c r="I1632" s="1">
        <v>0</v>
      </c>
      <c r="J1632" s="1">
        <v>0</v>
      </c>
      <c r="K1632" s="1">
        <v>54</v>
      </c>
      <c r="L1632" s="1" t="s">
        <v>3097</v>
      </c>
      <c r="M1632" s="1" t="s">
        <v>4480</v>
      </c>
      <c r="N1632" s="1" t="s">
        <v>13</v>
      </c>
      <c r="O1632" s="1" t="s">
        <v>4481</v>
      </c>
    </row>
    <row r="1633" spans="1:15" x14ac:dyDescent="0.4">
      <c r="A1633" s="1" t="s">
        <v>7751</v>
      </c>
      <c r="B1633" s="1" t="s">
        <v>7724</v>
      </c>
      <c r="C1633" s="1" t="s">
        <v>7755</v>
      </c>
      <c r="D1633" s="1" t="s">
        <v>7728</v>
      </c>
      <c r="E1633" s="1" t="s">
        <v>7833</v>
      </c>
      <c r="F1633" s="1" t="s">
        <v>17</v>
      </c>
      <c r="G1633" s="4" t="str">
        <f>"07076"</f>
        <v>07076</v>
      </c>
      <c r="H1633" s="1">
        <v>0</v>
      </c>
      <c r="I1633" s="1">
        <v>0</v>
      </c>
      <c r="J1633" s="1">
        <v>0</v>
      </c>
      <c r="K1633" s="1">
        <v>101</v>
      </c>
      <c r="L1633" s="1" t="s">
        <v>7752</v>
      </c>
      <c r="M1633" s="1" t="s">
        <v>7753</v>
      </c>
      <c r="N1633" s="1" t="s">
        <v>13</v>
      </c>
      <c r="O1633" s="1" t="s">
        <v>7754</v>
      </c>
    </row>
    <row r="1634" spans="1:15" x14ac:dyDescent="0.4">
      <c r="A1634" s="1" t="s">
        <v>3945</v>
      </c>
      <c r="B1634" s="1" t="s">
        <v>3883</v>
      </c>
      <c r="C1634" s="1" t="s">
        <v>3949</v>
      </c>
      <c r="D1634" s="1" t="s">
        <v>2605</v>
      </c>
      <c r="E1634" s="1" t="s">
        <v>3646</v>
      </c>
      <c r="F1634" s="1" t="s">
        <v>17</v>
      </c>
      <c r="G1634" s="4" t="str">
        <f>"07306-1202"</f>
        <v>07306-1202</v>
      </c>
      <c r="H1634" s="1">
        <v>0</v>
      </c>
      <c r="I1634" s="1">
        <v>0</v>
      </c>
      <c r="J1634" s="1">
        <v>0</v>
      </c>
      <c r="K1634" s="1">
        <v>0</v>
      </c>
      <c r="L1634" s="1" t="s">
        <v>3946</v>
      </c>
      <c r="M1634" s="1" t="s">
        <v>3947</v>
      </c>
      <c r="N1634" s="1" t="s">
        <v>13</v>
      </c>
      <c r="O1634" s="1" t="s">
        <v>3948</v>
      </c>
    </row>
    <row r="1635" spans="1:15" x14ac:dyDescent="0.4">
      <c r="A1635" s="1" t="s">
        <v>5918</v>
      </c>
      <c r="B1635" s="1" t="s">
        <v>5896</v>
      </c>
      <c r="C1635" s="1" t="s">
        <v>5920</v>
      </c>
      <c r="D1635" s="1" t="s">
        <v>5910</v>
      </c>
      <c r="E1635" s="1" t="s">
        <v>1503</v>
      </c>
      <c r="F1635" s="1" t="s">
        <v>17</v>
      </c>
      <c r="G1635" s="4" t="str">
        <f>"07045-9739"</f>
        <v>07045-9739</v>
      </c>
      <c r="H1635" s="1">
        <v>0</v>
      </c>
      <c r="I1635" s="1">
        <v>0</v>
      </c>
      <c r="J1635" s="1">
        <v>0</v>
      </c>
      <c r="K1635" s="1">
        <v>45</v>
      </c>
      <c r="L1635" s="1" t="s">
        <v>128</v>
      </c>
      <c r="M1635" s="1" t="s">
        <v>1078</v>
      </c>
      <c r="N1635" s="1" t="s">
        <v>13</v>
      </c>
      <c r="O1635" s="1" t="s">
        <v>5919</v>
      </c>
    </row>
    <row r="1636" spans="1:15" x14ac:dyDescent="0.4">
      <c r="A1636" s="1" t="s">
        <v>2026</v>
      </c>
      <c r="B1636" s="1" t="s">
        <v>2007</v>
      </c>
      <c r="C1636" s="1" t="s">
        <v>2029</v>
      </c>
      <c r="D1636" s="1" t="s">
        <v>2012</v>
      </c>
      <c r="E1636" s="1" t="s">
        <v>1909</v>
      </c>
      <c r="F1636" s="1" t="s">
        <v>17</v>
      </c>
      <c r="G1636" s="4" t="str">
        <f>"08108"</f>
        <v>08108</v>
      </c>
      <c r="H1636" s="1">
        <v>0</v>
      </c>
      <c r="I1636" s="1">
        <v>0</v>
      </c>
      <c r="J1636" s="1">
        <v>0</v>
      </c>
      <c r="K1636" s="1">
        <v>39</v>
      </c>
      <c r="L1636" s="1" t="s">
        <v>50</v>
      </c>
      <c r="M1636" s="1" t="s">
        <v>2027</v>
      </c>
      <c r="N1636" s="1" t="s">
        <v>241</v>
      </c>
      <c r="O1636" s="1" t="s">
        <v>2028</v>
      </c>
    </row>
    <row r="1637" spans="1:15" x14ac:dyDescent="0.4">
      <c r="A1637" s="1" t="s">
        <v>5292</v>
      </c>
      <c r="B1637" s="1" t="s">
        <v>5283</v>
      </c>
      <c r="C1637" s="1" t="s">
        <v>5296</v>
      </c>
      <c r="D1637" s="1" t="s">
        <v>5288</v>
      </c>
      <c r="E1637" s="1" t="s">
        <v>8027</v>
      </c>
      <c r="F1637" s="1" t="s">
        <v>17</v>
      </c>
      <c r="G1637" s="4" t="str">
        <f>"07733-1998"</f>
        <v>07733-1998</v>
      </c>
      <c r="H1637" s="1">
        <v>0</v>
      </c>
      <c r="I1637" s="1">
        <v>0</v>
      </c>
      <c r="J1637" s="1">
        <v>0</v>
      </c>
      <c r="K1637" s="1">
        <v>0</v>
      </c>
      <c r="L1637" s="1" t="s">
        <v>5293</v>
      </c>
      <c r="M1637" s="1" t="s">
        <v>5294</v>
      </c>
      <c r="N1637" s="1" t="s">
        <v>13</v>
      </c>
      <c r="O1637" s="1" t="s">
        <v>5295</v>
      </c>
    </row>
    <row r="1638" spans="1:15" x14ac:dyDescent="0.4">
      <c r="A1638" s="1" t="s">
        <v>7428</v>
      </c>
      <c r="B1638" s="1" t="s">
        <v>7406</v>
      </c>
      <c r="C1638" s="1" t="s">
        <v>7431</v>
      </c>
      <c r="D1638" s="1" t="s">
        <v>7411</v>
      </c>
      <c r="E1638" s="1" t="s">
        <v>7833</v>
      </c>
      <c r="F1638" s="1" t="s">
        <v>17</v>
      </c>
      <c r="G1638" s="4" t="str">
        <f>"07922"</f>
        <v>07922</v>
      </c>
      <c r="H1638" s="1">
        <v>0</v>
      </c>
      <c r="I1638" s="1">
        <v>0</v>
      </c>
      <c r="J1638" s="1">
        <v>0</v>
      </c>
      <c r="K1638" s="1">
        <v>75</v>
      </c>
      <c r="L1638" s="1" t="s">
        <v>1167</v>
      </c>
      <c r="M1638" s="1" t="s">
        <v>7429</v>
      </c>
      <c r="N1638" s="1" t="s">
        <v>13</v>
      </c>
      <c r="O1638" s="1" t="s">
        <v>7430</v>
      </c>
    </row>
    <row r="1639" spans="1:15" x14ac:dyDescent="0.4">
      <c r="A1639" s="1" t="s">
        <v>3677</v>
      </c>
      <c r="B1639" s="1" t="s">
        <v>3676</v>
      </c>
      <c r="C1639" s="1" t="s">
        <v>3680</v>
      </c>
      <c r="D1639" s="1" t="s">
        <v>81</v>
      </c>
      <c r="E1639" s="1" t="s">
        <v>8020</v>
      </c>
      <c r="F1639" s="1" t="s">
        <v>17</v>
      </c>
      <c r="G1639" s="4" t="str">
        <f>"08094-8827"</f>
        <v>08094-8827</v>
      </c>
      <c r="H1639" s="1">
        <v>0</v>
      </c>
      <c r="I1639" s="1">
        <v>0</v>
      </c>
      <c r="J1639" s="1">
        <v>0</v>
      </c>
      <c r="K1639" s="1">
        <v>0</v>
      </c>
      <c r="L1639" s="1" t="s">
        <v>2376</v>
      </c>
      <c r="M1639" s="1" t="s">
        <v>3678</v>
      </c>
      <c r="N1639" s="1" t="s">
        <v>13</v>
      </c>
      <c r="O1639" s="1" t="s">
        <v>3679</v>
      </c>
    </row>
    <row r="1640" spans="1:15" x14ac:dyDescent="0.4">
      <c r="A1640" s="1" t="s">
        <v>3681</v>
      </c>
      <c r="B1640" s="1" t="s">
        <v>3676</v>
      </c>
      <c r="C1640" s="1" t="s">
        <v>3684</v>
      </c>
      <c r="D1640" s="1" t="s">
        <v>81</v>
      </c>
      <c r="E1640" s="1" t="s">
        <v>8020</v>
      </c>
      <c r="F1640" s="1" t="s">
        <v>17</v>
      </c>
      <c r="G1640" s="4" t="str">
        <f>"08094"</f>
        <v>08094</v>
      </c>
      <c r="H1640" s="1">
        <v>0</v>
      </c>
      <c r="I1640" s="1">
        <v>0</v>
      </c>
      <c r="J1640" s="1">
        <v>1</v>
      </c>
      <c r="K1640" s="1">
        <v>0</v>
      </c>
      <c r="L1640" s="1" t="s">
        <v>3682</v>
      </c>
      <c r="M1640" s="1" t="s">
        <v>1513</v>
      </c>
      <c r="N1640" s="1" t="s">
        <v>13</v>
      </c>
      <c r="O1640" s="1" t="s">
        <v>3683</v>
      </c>
    </row>
    <row r="1641" spans="1:15" x14ac:dyDescent="0.4">
      <c r="A1641" s="1" t="s">
        <v>1793</v>
      </c>
      <c r="B1641" s="1" t="s">
        <v>1769</v>
      </c>
      <c r="C1641" s="1" t="s">
        <v>1796</v>
      </c>
      <c r="D1641" s="1" t="s">
        <v>1777</v>
      </c>
      <c r="E1641" s="1" t="s">
        <v>8019</v>
      </c>
      <c r="F1641" s="1" t="s">
        <v>17</v>
      </c>
      <c r="G1641" s="4" t="str">
        <f>"08046-2121"</f>
        <v>08046-2121</v>
      </c>
      <c r="H1641" s="1">
        <v>0</v>
      </c>
      <c r="I1641" s="1">
        <v>0</v>
      </c>
      <c r="J1641" s="1">
        <v>0</v>
      </c>
      <c r="K1641" s="1">
        <v>0</v>
      </c>
      <c r="L1641" s="1" t="s">
        <v>1794</v>
      </c>
      <c r="M1641" s="1" t="s">
        <v>150</v>
      </c>
      <c r="N1641" s="1" t="s">
        <v>13</v>
      </c>
      <c r="O1641" s="1" t="s">
        <v>1795</v>
      </c>
    </row>
    <row r="1642" spans="1:15" x14ac:dyDescent="0.4">
      <c r="A1642" s="1" t="s">
        <v>1798</v>
      </c>
      <c r="B1642" s="1" t="s">
        <v>1769</v>
      </c>
      <c r="C1642" s="1" t="s">
        <v>1802</v>
      </c>
      <c r="D1642" s="1" t="s">
        <v>1777</v>
      </c>
      <c r="E1642" s="1" t="s">
        <v>8019</v>
      </c>
      <c r="F1642" s="1" t="s">
        <v>17</v>
      </c>
      <c r="G1642" s="4" t="str">
        <f>"08046"</f>
        <v>08046</v>
      </c>
      <c r="H1642" s="1">
        <v>0</v>
      </c>
      <c r="I1642" s="1">
        <v>0</v>
      </c>
      <c r="J1642" s="1">
        <v>0</v>
      </c>
      <c r="K1642" s="1">
        <v>0</v>
      </c>
      <c r="L1642" s="1" t="s">
        <v>1799</v>
      </c>
      <c r="M1642" s="1" t="s">
        <v>1800</v>
      </c>
      <c r="N1642" s="1" t="s">
        <v>13</v>
      </c>
      <c r="O1642" s="1" t="s">
        <v>1801</v>
      </c>
    </row>
    <row r="1643" spans="1:15" x14ac:dyDescent="0.4">
      <c r="A1643" s="1" t="s">
        <v>7943</v>
      </c>
      <c r="B1643" s="1" t="s">
        <v>7933</v>
      </c>
      <c r="C1643" s="1" t="s">
        <v>7946</v>
      </c>
      <c r="D1643" s="1" t="s">
        <v>7938</v>
      </c>
      <c r="E1643" s="1" t="s">
        <v>55</v>
      </c>
      <c r="F1643" s="1" t="s">
        <v>17</v>
      </c>
      <c r="G1643" s="4" t="str">
        <f>"07840-1713"</f>
        <v>07840-1713</v>
      </c>
      <c r="H1643" s="1">
        <v>0</v>
      </c>
      <c r="I1643" s="1">
        <v>0</v>
      </c>
      <c r="J1643" s="1">
        <v>0</v>
      </c>
      <c r="K1643" s="1">
        <v>0</v>
      </c>
      <c r="L1643" s="1" t="s">
        <v>2212</v>
      </c>
      <c r="M1643" s="1" t="s">
        <v>7944</v>
      </c>
      <c r="N1643" s="1" t="s">
        <v>13</v>
      </c>
      <c r="O1643" s="1" t="s">
        <v>7945</v>
      </c>
    </row>
    <row r="1644" spans="1:15" x14ac:dyDescent="0.4">
      <c r="A1644" s="1" t="s">
        <v>3351</v>
      </c>
      <c r="B1644" s="1" t="s">
        <v>3249</v>
      </c>
      <c r="C1644" s="1" t="s">
        <v>3354</v>
      </c>
      <c r="D1644" s="1" t="s">
        <v>2526</v>
      </c>
      <c r="E1644" s="1" t="s">
        <v>8024</v>
      </c>
      <c r="F1644" s="1" t="s">
        <v>17</v>
      </c>
      <c r="G1644" s="4" t="str">
        <f>"07108-3214"</f>
        <v>07108-3214</v>
      </c>
      <c r="H1644" s="1">
        <v>0</v>
      </c>
      <c r="I1644" s="1">
        <v>0</v>
      </c>
      <c r="J1644" s="1">
        <v>0</v>
      </c>
      <c r="K1644" s="1">
        <v>99</v>
      </c>
      <c r="L1644" s="1" t="s">
        <v>3352</v>
      </c>
      <c r="M1644" s="1" t="s">
        <v>1034</v>
      </c>
      <c r="N1644" s="1" t="s">
        <v>13</v>
      </c>
      <c r="O1644" s="1" t="s">
        <v>3353</v>
      </c>
    </row>
    <row r="1645" spans="1:15" x14ac:dyDescent="0.4">
      <c r="A1645" s="1" t="s">
        <v>3017</v>
      </c>
      <c r="B1645" s="1" t="s">
        <v>2999</v>
      </c>
      <c r="C1645" s="1" t="s">
        <v>3020</v>
      </c>
      <c r="D1645" s="1" t="s">
        <v>3011</v>
      </c>
      <c r="E1645" s="1" t="s">
        <v>8024</v>
      </c>
      <c r="F1645" s="1" t="s">
        <v>17</v>
      </c>
      <c r="G1645" s="4" t="str">
        <f>"07006"</f>
        <v>07006</v>
      </c>
      <c r="H1645" s="1">
        <v>0</v>
      </c>
      <c r="I1645" s="1">
        <v>0</v>
      </c>
      <c r="J1645" s="1">
        <v>0</v>
      </c>
      <c r="K1645" s="1">
        <v>34</v>
      </c>
      <c r="L1645" s="1" t="s">
        <v>123</v>
      </c>
      <c r="M1645" s="1" t="s">
        <v>3018</v>
      </c>
      <c r="N1645" s="1" t="s">
        <v>13</v>
      </c>
      <c r="O1645" s="1" t="s">
        <v>3019</v>
      </c>
    </row>
    <row r="1646" spans="1:15" x14ac:dyDescent="0.4">
      <c r="A1646" s="1" t="s">
        <v>3017</v>
      </c>
      <c r="B1646" s="1" t="s">
        <v>7862</v>
      </c>
      <c r="C1646" s="1" t="s">
        <v>7885</v>
      </c>
      <c r="D1646" s="1" t="s">
        <v>7828</v>
      </c>
      <c r="E1646" s="1" t="s">
        <v>8024</v>
      </c>
      <c r="F1646" s="1" t="s">
        <v>17</v>
      </c>
      <c r="G1646" s="4" t="str">
        <f>"07090-1923"</f>
        <v>07090-1923</v>
      </c>
      <c r="H1646" s="1">
        <v>0</v>
      </c>
      <c r="I1646" s="1">
        <v>0</v>
      </c>
      <c r="J1646" s="1">
        <v>0</v>
      </c>
      <c r="K1646" s="1">
        <v>34</v>
      </c>
      <c r="L1646" s="1" t="s">
        <v>3045</v>
      </c>
      <c r="M1646" s="1" t="s">
        <v>7883</v>
      </c>
      <c r="N1646" s="1" t="s">
        <v>13</v>
      </c>
      <c r="O1646" s="1" t="s">
        <v>7884</v>
      </c>
    </row>
    <row r="1647" spans="1:15" x14ac:dyDescent="0.4">
      <c r="A1647" s="1" t="s">
        <v>2293</v>
      </c>
      <c r="B1647" s="1" t="s">
        <v>2292</v>
      </c>
      <c r="C1647" s="1" t="s">
        <v>2296</v>
      </c>
      <c r="D1647" s="1" t="s">
        <v>1849</v>
      </c>
      <c r="E1647" s="1" t="s">
        <v>1909</v>
      </c>
      <c r="F1647" s="1" t="s">
        <v>17</v>
      </c>
      <c r="G1647" s="4" t="str">
        <f>"08009"</f>
        <v>08009</v>
      </c>
      <c r="H1647" s="1">
        <v>0</v>
      </c>
      <c r="I1647" s="1">
        <v>0</v>
      </c>
      <c r="J1647" s="1">
        <v>0</v>
      </c>
      <c r="K1647" s="1">
        <v>0</v>
      </c>
      <c r="L1647" s="1" t="s">
        <v>2294</v>
      </c>
      <c r="M1647" s="1" t="s">
        <v>1586</v>
      </c>
      <c r="N1647" s="1" t="s">
        <v>13</v>
      </c>
      <c r="O1647" s="1" t="s">
        <v>2295</v>
      </c>
    </row>
    <row r="1648" spans="1:15" x14ac:dyDescent="0.4">
      <c r="A1648" s="1" t="s">
        <v>2298</v>
      </c>
      <c r="B1648" s="1" t="s">
        <v>2292</v>
      </c>
      <c r="C1648" s="1" t="s">
        <v>2301</v>
      </c>
      <c r="D1648" s="1" t="s">
        <v>2048</v>
      </c>
      <c r="E1648" s="1" t="s">
        <v>1909</v>
      </c>
      <c r="F1648" s="1" t="s">
        <v>17</v>
      </c>
      <c r="G1648" s="4" t="str">
        <f>"08081"</f>
        <v>08081</v>
      </c>
      <c r="H1648" s="1">
        <v>0</v>
      </c>
      <c r="I1648" s="1">
        <v>0</v>
      </c>
      <c r="J1648" s="1">
        <v>0</v>
      </c>
      <c r="K1648" s="1">
        <v>0</v>
      </c>
      <c r="L1648" s="1" t="s">
        <v>2299</v>
      </c>
      <c r="M1648" s="1" t="s">
        <v>171</v>
      </c>
      <c r="N1648" s="1" t="s">
        <v>13</v>
      </c>
      <c r="O1648" s="1" t="s">
        <v>2300</v>
      </c>
    </row>
    <row r="1649" spans="1:15" x14ac:dyDescent="0.4">
      <c r="A1649" s="1" t="s">
        <v>2302</v>
      </c>
      <c r="B1649" s="1" t="s">
        <v>2292</v>
      </c>
      <c r="C1649" s="1" t="s">
        <v>2305</v>
      </c>
      <c r="D1649" s="1" t="s">
        <v>2306</v>
      </c>
      <c r="E1649" s="1" t="s">
        <v>1909</v>
      </c>
      <c r="F1649" s="1" t="s">
        <v>17</v>
      </c>
      <c r="G1649" s="4" t="str">
        <f>"08004"</f>
        <v>08004</v>
      </c>
      <c r="H1649" s="1">
        <v>0</v>
      </c>
      <c r="I1649" s="1">
        <v>0</v>
      </c>
      <c r="J1649" s="1">
        <v>0</v>
      </c>
      <c r="K1649" s="1">
        <v>0</v>
      </c>
      <c r="L1649" s="1" t="s">
        <v>1152</v>
      </c>
      <c r="M1649" s="1" t="s">
        <v>2303</v>
      </c>
      <c r="N1649" s="1" t="s">
        <v>13</v>
      </c>
      <c r="O1649" s="1" t="s">
        <v>2304</v>
      </c>
    </row>
    <row r="1650" spans="1:15" x14ac:dyDescent="0.4">
      <c r="A1650" s="1" t="s">
        <v>2307</v>
      </c>
      <c r="B1650" s="1" t="s">
        <v>2292</v>
      </c>
      <c r="C1650" s="1" t="s">
        <v>2310</v>
      </c>
      <c r="D1650" s="1" t="s">
        <v>2306</v>
      </c>
      <c r="E1650" s="1" t="s">
        <v>1909</v>
      </c>
      <c r="F1650" s="1" t="s">
        <v>17</v>
      </c>
      <c r="G1650" s="4" t="str">
        <f>"08004"</f>
        <v>08004</v>
      </c>
      <c r="H1650" s="1">
        <v>0</v>
      </c>
      <c r="I1650" s="1">
        <v>0</v>
      </c>
      <c r="J1650" s="1">
        <v>0</v>
      </c>
      <c r="K1650" s="1">
        <v>0</v>
      </c>
      <c r="L1650" s="1" t="s">
        <v>356</v>
      </c>
      <c r="M1650" s="1" t="s">
        <v>2308</v>
      </c>
      <c r="N1650" s="1" t="s">
        <v>13</v>
      </c>
      <c r="O1650" s="1" t="s">
        <v>2309</v>
      </c>
    </row>
    <row r="1651" spans="1:15" x14ac:dyDescent="0.4">
      <c r="A1651" s="1" t="s">
        <v>3092</v>
      </c>
      <c r="B1651" s="1" t="s">
        <v>3091</v>
      </c>
      <c r="C1651" s="1" t="s">
        <v>3095</v>
      </c>
      <c r="D1651" s="1" t="s">
        <v>3084</v>
      </c>
      <c r="E1651" s="1" t="s">
        <v>8024</v>
      </c>
      <c r="F1651" s="1" t="s">
        <v>17</v>
      </c>
      <c r="G1651" s="4" t="str">
        <f>"07004"</f>
        <v>07004</v>
      </c>
      <c r="H1651" s="1">
        <v>0</v>
      </c>
      <c r="I1651" s="1">
        <v>0</v>
      </c>
      <c r="J1651" s="1">
        <v>0</v>
      </c>
      <c r="K1651" s="1">
        <v>0</v>
      </c>
      <c r="L1651" s="1" t="s">
        <v>963</v>
      </c>
      <c r="M1651" s="1" t="s">
        <v>3093</v>
      </c>
      <c r="N1651" s="1" t="s">
        <v>13</v>
      </c>
      <c r="O1651" s="1" t="s">
        <v>3094</v>
      </c>
    </row>
    <row r="1652" spans="1:15" x14ac:dyDescent="0.4">
      <c r="A1652" s="1" t="s">
        <v>5123</v>
      </c>
      <c r="B1652" s="1" t="s">
        <v>5044</v>
      </c>
      <c r="C1652" s="1" t="s">
        <v>5048</v>
      </c>
      <c r="D1652" s="1" t="s">
        <v>5049</v>
      </c>
      <c r="E1652" s="1" t="s">
        <v>4704</v>
      </c>
      <c r="F1652" s="1" t="s">
        <v>17</v>
      </c>
      <c r="G1652" s="4" t="str">
        <f>"07001"</f>
        <v>07001</v>
      </c>
      <c r="H1652" s="1">
        <v>0</v>
      </c>
      <c r="I1652" s="1">
        <v>0</v>
      </c>
      <c r="J1652" s="1">
        <v>0</v>
      </c>
      <c r="K1652" s="1">
        <v>68</v>
      </c>
      <c r="L1652" s="1" t="s">
        <v>306</v>
      </c>
      <c r="M1652" s="1" t="s">
        <v>5124</v>
      </c>
      <c r="N1652" s="1" t="s">
        <v>13</v>
      </c>
      <c r="O1652" s="1" t="s">
        <v>5125</v>
      </c>
    </row>
    <row r="1653" spans="1:15" x14ac:dyDescent="0.4">
      <c r="A1653" s="1" t="s">
        <v>4724</v>
      </c>
      <c r="B1653" s="1" t="s">
        <v>4705</v>
      </c>
      <c r="C1653" s="1" t="s">
        <v>4727</v>
      </c>
      <c r="D1653" s="1" t="s">
        <v>4728</v>
      </c>
      <c r="E1653" s="1" t="s">
        <v>4704</v>
      </c>
      <c r="F1653" s="1" t="s">
        <v>17</v>
      </c>
      <c r="G1653" s="4" t="str">
        <f>"07095-2650"</f>
        <v>07095-2650</v>
      </c>
      <c r="H1653" s="1">
        <v>0</v>
      </c>
      <c r="I1653" s="1">
        <v>0</v>
      </c>
      <c r="J1653" s="1">
        <v>0</v>
      </c>
      <c r="K1653" s="1">
        <v>0</v>
      </c>
      <c r="L1653" s="1" t="s">
        <v>306</v>
      </c>
      <c r="M1653" s="1" t="s">
        <v>4725</v>
      </c>
      <c r="N1653" s="1" t="s">
        <v>13</v>
      </c>
      <c r="O1653" s="1" t="s">
        <v>4726</v>
      </c>
    </row>
    <row r="1654" spans="1:15" x14ac:dyDescent="0.4">
      <c r="A1654" s="1" t="s">
        <v>5127</v>
      </c>
      <c r="B1654" s="1" t="s">
        <v>5044</v>
      </c>
      <c r="C1654" s="1" t="s">
        <v>5129</v>
      </c>
      <c r="D1654" s="1" t="s">
        <v>4728</v>
      </c>
      <c r="E1654" s="1" t="s">
        <v>4704</v>
      </c>
      <c r="F1654" s="1" t="s">
        <v>17</v>
      </c>
      <c r="G1654" s="4" t="str">
        <f>"07095"</f>
        <v>07095</v>
      </c>
      <c r="H1654" s="1">
        <v>0</v>
      </c>
      <c r="I1654" s="1">
        <v>0</v>
      </c>
      <c r="J1654" s="1">
        <v>0</v>
      </c>
      <c r="K1654" s="1">
        <v>0</v>
      </c>
      <c r="L1654" s="1" t="s">
        <v>153</v>
      </c>
      <c r="M1654" s="1" t="s">
        <v>1171</v>
      </c>
      <c r="N1654" s="1" t="s">
        <v>13</v>
      </c>
      <c r="O1654" s="1" t="s">
        <v>5128</v>
      </c>
    </row>
    <row r="1655" spans="1:15" x14ac:dyDescent="0.4">
      <c r="A1655" s="1" t="s">
        <v>5130</v>
      </c>
      <c r="B1655" s="1" t="s">
        <v>5044</v>
      </c>
      <c r="C1655" s="1" t="s">
        <v>5133</v>
      </c>
      <c r="D1655" s="1" t="s">
        <v>4728</v>
      </c>
      <c r="E1655" s="1" t="s">
        <v>4704</v>
      </c>
      <c r="F1655" s="1" t="s">
        <v>17</v>
      </c>
      <c r="G1655" s="4" t="str">
        <f>"07095"</f>
        <v>07095</v>
      </c>
      <c r="H1655" s="1">
        <v>0</v>
      </c>
      <c r="I1655" s="1">
        <v>0</v>
      </c>
      <c r="J1655" s="1">
        <v>0</v>
      </c>
      <c r="K1655" s="1">
        <v>0</v>
      </c>
      <c r="L1655" s="1" t="s">
        <v>5131</v>
      </c>
      <c r="M1655" s="1" t="s">
        <v>5051</v>
      </c>
      <c r="N1655" s="1" t="s">
        <v>13</v>
      </c>
      <c r="O1655" s="1" t="s">
        <v>5132</v>
      </c>
    </row>
    <row r="1656" spans="1:15" x14ac:dyDescent="0.4">
      <c r="A1656" s="1" t="s">
        <v>4622</v>
      </c>
      <c r="B1656" s="1" t="s">
        <v>4570</v>
      </c>
      <c r="C1656" s="1" t="s">
        <v>4624</v>
      </c>
      <c r="D1656" s="1" t="s">
        <v>4571</v>
      </c>
      <c r="E1656" s="1" t="s">
        <v>4704</v>
      </c>
      <c r="F1656" s="1" t="s">
        <v>17</v>
      </c>
      <c r="G1656" s="4" t="str">
        <f>"08820"</f>
        <v>08820</v>
      </c>
      <c r="H1656" s="1">
        <v>0</v>
      </c>
      <c r="I1656" s="1">
        <v>0</v>
      </c>
      <c r="J1656" s="1">
        <v>0</v>
      </c>
      <c r="K1656" s="1">
        <v>88</v>
      </c>
      <c r="L1656" s="1" t="s">
        <v>43</v>
      </c>
      <c r="M1656" s="1" t="s">
        <v>3817</v>
      </c>
      <c r="N1656" s="1" t="s">
        <v>13</v>
      </c>
      <c r="O1656" s="1" t="s">
        <v>4623</v>
      </c>
    </row>
    <row r="1657" spans="1:15" x14ac:dyDescent="0.4">
      <c r="A1657" s="1" t="s">
        <v>3800</v>
      </c>
      <c r="B1657" s="1" t="s">
        <v>3798</v>
      </c>
      <c r="C1657" s="1" t="s">
        <v>3803</v>
      </c>
      <c r="D1657" s="1" t="s">
        <v>3799</v>
      </c>
      <c r="E1657" s="1" t="s">
        <v>8020</v>
      </c>
      <c r="F1657" s="1" t="s">
        <v>17</v>
      </c>
      <c r="G1657" s="4" t="str">
        <f>"08096-4602"</f>
        <v>08096-4602</v>
      </c>
      <c r="H1657" s="1">
        <v>0</v>
      </c>
      <c r="I1657" s="1">
        <v>0</v>
      </c>
      <c r="J1657" s="1">
        <v>0</v>
      </c>
      <c r="K1657" s="1">
        <v>0</v>
      </c>
      <c r="L1657" s="1" t="s">
        <v>3801</v>
      </c>
      <c r="M1657" s="1" t="s">
        <v>310</v>
      </c>
      <c r="N1657" s="1" t="s">
        <v>13</v>
      </c>
      <c r="O1657" s="1" t="s">
        <v>3802</v>
      </c>
    </row>
    <row r="1658" spans="1:15" x14ac:dyDescent="0.4">
      <c r="A1658" s="1" t="s">
        <v>1322</v>
      </c>
      <c r="B1658" s="1" t="s">
        <v>1319</v>
      </c>
      <c r="C1658" s="1" t="s">
        <v>1325</v>
      </c>
      <c r="D1658" s="1" t="s">
        <v>1321</v>
      </c>
      <c r="E1658" s="1" t="s">
        <v>8018</v>
      </c>
      <c r="F1658" s="1" t="s">
        <v>17</v>
      </c>
      <c r="G1658" s="4" t="str">
        <f>"07677-8245"</f>
        <v>07677-8245</v>
      </c>
      <c r="H1658" s="1">
        <v>0</v>
      </c>
      <c r="I1658" s="1">
        <v>0</v>
      </c>
      <c r="J1658" s="1">
        <v>0</v>
      </c>
      <c r="K1658" s="1">
        <v>0</v>
      </c>
      <c r="L1658" s="1" t="s">
        <v>158</v>
      </c>
      <c r="M1658" s="1" t="s">
        <v>1323</v>
      </c>
      <c r="N1658" s="1" t="s">
        <v>13</v>
      </c>
      <c r="O1658" s="1" t="s">
        <v>1324</v>
      </c>
    </row>
    <row r="1659" spans="1:15" x14ac:dyDescent="0.4">
      <c r="A1659" s="1" t="s">
        <v>2002</v>
      </c>
      <c r="B1659" s="1" t="s">
        <v>1927</v>
      </c>
      <c r="C1659" s="1" t="s">
        <v>2006</v>
      </c>
      <c r="D1659" s="1" t="s">
        <v>1933</v>
      </c>
      <c r="E1659" s="1" t="s">
        <v>1909</v>
      </c>
      <c r="F1659" s="1" t="s">
        <v>17</v>
      </c>
      <c r="G1659" s="4" t="str">
        <f>"08003-3499"</f>
        <v>08003-3499</v>
      </c>
      <c r="H1659" s="1">
        <v>0</v>
      </c>
      <c r="I1659" s="1">
        <v>0</v>
      </c>
      <c r="J1659" s="1">
        <v>0</v>
      </c>
      <c r="K1659" s="1">
        <v>63</v>
      </c>
      <c r="L1659" s="1" t="s">
        <v>2003</v>
      </c>
      <c r="M1659" s="1" t="s">
        <v>2004</v>
      </c>
      <c r="N1659" s="1" t="s">
        <v>13</v>
      </c>
      <c r="O1659" s="1" t="s">
        <v>2005</v>
      </c>
    </row>
    <row r="1660" spans="1:15" x14ac:dyDescent="0.4">
      <c r="A1660" s="1" t="s">
        <v>7177</v>
      </c>
      <c r="B1660" s="1" t="s">
        <v>7154</v>
      </c>
      <c r="C1660" s="1" t="s">
        <v>7180</v>
      </c>
      <c r="D1660" s="1" t="s">
        <v>7158</v>
      </c>
      <c r="E1660" s="1" t="s">
        <v>2471</v>
      </c>
      <c r="F1660" s="1" t="s">
        <v>17</v>
      </c>
      <c r="G1660" s="4" t="str">
        <f>"08844"</f>
        <v>08844</v>
      </c>
      <c r="H1660" s="1">
        <v>0</v>
      </c>
      <c r="I1660" s="1">
        <v>0</v>
      </c>
      <c r="J1660" s="1">
        <v>42</v>
      </c>
      <c r="K1660" s="1">
        <v>13</v>
      </c>
      <c r="L1660" s="1" t="s">
        <v>1086</v>
      </c>
      <c r="M1660" s="1" t="s">
        <v>7178</v>
      </c>
      <c r="N1660" s="1" t="s">
        <v>13</v>
      </c>
      <c r="O1660" s="1" t="s">
        <v>7179</v>
      </c>
    </row>
    <row r="1661" spans="1:15" x14ac:dyDescent="0.4">
      <c r="A1661" s="1" t="s">
        <v>4140</v>
      </c>
      <c r="B1661" s="1" t="s">
        <v>4135</v>
      </c>
      <c r="C1661" s="1" t="s">
        <v>4142</v>
      </c>
      <c r="D1661" s="1" t="s">
        <v>4079</v>
      </c>
      <c r="E1661" s="1" t="s">
        <v>8025</v>
      </c>
      <c r="F1661" s="1" t="s">
        <v>17</v>
      </c>
      <c r="G1661" s="4" t="str">
        <f>"07830-9231"</f>
        <v>07830-9231</v>
      </c>
      <c r="H1661" s="1">
        <v>0</v>
      </c>
      <c r="I1661" s="1">
        <v>0</v>
      </c>
      <c r="J1661" s="1">
        <v>0</v>
      </c>
      <c r="K1661" s="1">
        <v>0</v>
      </c>
      <c r="L1661" s="1" t="s">
        <v>140</v>
      </c>
      <c r="M1661" s="1" t="s">
        <v>737</v>
      </c>
      <c r="N1661" s="1" t="s">
        <v>13</v>
      </c>
      <c r="O1661" s="1" t="s">
        <v>4141</v>
      </c>
    </row>
    <row r="1662" spans="1:15" x14ac:dyDescent="0.4">
      <c r="A1662" s="1" t="s">
        <v>4699</v>
      </c>
      <c r="B1662" s="1" t="s">
        <v>4684</v>
      </c>
      <c r="C1662" s="1" t="s">
        <v>4703</v>
      </c>
      <c r="D1662" s="1" t="s">
        <v>4704</v>
      </c>
      <c r="E1662" s="1" t="s">
        <v>4704</v>
      </c>
      <c r="F1662" s="1" t="s">
        <v>17</v>
      </c>
      <c r="G1662" s="4" t="str">
        <f>"08846"</f>
        <v>08846</v>
      </c>
      <c r="H1662" s="1">
        <v>0</v>
      </c>
      <c r="I1662" s="1">
        <v>0</v>
      </c>
      <c r="J1662" s="1">
        <v>0</v>
      </c>
      <c r="K1662" s="1">
        <v>0</v>
      </c>
      <c r="L1662" s="1" t="s">
        <v>4700</v>
      </c>
      <c r="M1662" s="1" t="s">
        <v>4701</v>
      </c>
      <c r="N1662" s="1" t="s">
        <v>13</v>
      </c>
      <c r="O1662" s="1" t="s">
        <v>4702</v>
      </c>
    </row>
    <row r="1663" spans="1:15" x14ac:dyDescent="0.4">
      <c r="A1663" s="1" t="s">
        <v>1832</v>
      </c>
      <c r="B1663" s="1" t="s">
        <v>1826</v>
      </c>
      <c r="C1663" s="1" t="s">
        <v>1835</v>
      </c>
      <c r="D1663" s="1" t="s">
        <v>1836</v>
      </c>
      <c r="E1663" s="1" t="s">
        <v>1909</v>
      </c>
      <c r="F1663" s="1" t="s">
        <v>17</v>
      </c>
      <c r="G1663" s="4" t="str">
        <f>"08007"</f>
        <v>08007</v>
      </c>
      <c r="H1663" s="1">
        <v>0</v>
      </c>
      <c r="I1663" s="1">
        <v>0</v>
      </c>
      <c r="J1663" s="1">
        <v>0</v>
      </c>
      <c r="K1663" s="1">
        <v>0</v>
      </c>
      <c r="L1663" s="1" t="s">
        <v>158</v>
      </c>
      <c r="M1663" s="1" t="s">
        <v>1833</v>
      </c>
      <c r="N1663" s="1" t="s">
        <v>13</v>
      </c>
      <c r="O1663" s="1" t="s">
        <v>1834</v>
      </c>
    </row>
    <row r="1664" spans="1:15" x14ac:dyDescent="0.4">
      <c r="A1664" s="1" t="s">
        <v>4758</v>
      </c>
      <c r="B1664" s="1" t="s">
        <v>4734</v>
      </c>
      <c r="C1664" s="1" t="s">
        <v>4762</v>
      </c>
      <c r="D1664" s="1" t="s">
        <v>4763</v>
      </c>
      <c r="E1664" s="1" t="s">
        <v>4704</v>
      </c>
      <c r="F1664" s="1" t="s">
        <v>17</v>
      </c>
      <c r="G1664" s="4" t="str">
        <f>"08831"</f>
        <v>08831</v>
      </c>
      <c r="H1664" s="1">
        <v>0</v>
      </c>
      <c r="I1664" s="1">
        <v>0</v>
      </c>
      <c r="J1664" s="1">
        <v>0</v>
      </c>
      <c r="K1664" s="1">
        <v>0</v>
      </c>
      <c r="L1664" s="1" t="s">
        <v>4759</v>
      </c>
      <c r="M1664" s="1" t="s">
        <v>4760</v>
      </c>
      <c r="N1664" s="1" t="s">
        <v>13</v>
      </c>
      <c r="O1664" s="1" t="s">
        <v>4761</v>
      </c>
    </row>
    <row r="1665" spans="1:15" x14ac:dyDescent="0.4">
      <c r="A1665" s="1" t="s">
        <v>4758</v>
      </c>
      <c r="B1665" s="1" t="s">
        <v>5955</v>
      </c>
      <c r="C1665" s="1" t="s">
        <v>5983</v>
      </c>
      <c r="D1665" s="1" t="s">
        <v>5984</v>
      </c>
      <c r="E1665" s="1" t="s">
        <v>4704</v>
      </c>
      <c r="F1665" s="1" t="s">
        <v>17</v>
      </c>
      <c r="G1665" s="4" t="str">
        <f>"07961"</f>
        <v>07961</v>
      </c>
      <c r="H1665" s="1">
        <v>0</v>
      </c>
      <c r="I1665" s="1">
        <v>0</v>
      </c>
      <c r="J1665" s="1">
        <v>0</v>
      </c>
      <c r="K1665" s="1">
        <v>0</v>
      </c>
      <c r="L1665" s="1" t="s">
        <v>2407</v>
      </c>
      <c r="M1665" s="1" t="s">
        <v>5981</v>
      </c>
      <c r="N1665" s="1" t="s">
        <v>13</v>
      </c>
      <c r="O1665" s="1" t="s">
        <v>5982</v>
      </c>
    </row>
    <row r="1666" spans="1:15" x14ac:dyDescent="0.4">
      <c r="A1666" s="1" t="s">
        <v>4758</v>
      </c>
      <c r="B1666" s="1" t="s">
        <v>7261</v>
      </c>
      <c r="C1666" s="1" t="s">
        <v>7274</v>
      </c>
      <c r="D1666" s="1" t="s">
        <v>55</v>
      </c>
      <c r="E1666" s="1" t="s">
        <v>4704</v>
      </c>
      <c r="F1666" s="1" t="s">
        <v>17</v>
      </c>
      <c r="G1666" s="4" t="str">
        <f>"07059"</f>
        <v>07059</v>
      </c>
      <c r="H1666" s="1">
        <v>0</v>
      </c>
      <c r="I1666" s="1">
        <v>0</v>
      </c>
      <c r="J1666" s="1">
        <v>0</v>
      </c>
      <c r="K1666" s="1">
        <v>0</v>
      </c>
      <c r="L1666" s="1" t="s">
        <v>1387</v>
      </c>
      <c r="M1666" s="1" t="s">
        <v>7272</v>
      </c>
      <c r="N1666" s="1" t="s">
        <v>13</v>
      </c>
      <c r="O1666" s="1" t="s">
        <v>7273</v>
      </c>
    </row>
    <row r="1667" spans="1:15" x14ac:dyDescent="0.4">
      <c r="A1667" s="1" t="s">
        <v>5921</v>
      </c>
      <c r="B1667" s="1" t="s">
        <v>5896</v>
      </c>
      <c r="C1667" s="1" t="s">
        <v>5924</v>
      </c>
      <c r="D1667" s="1" t="s">
        <v>5906</v>
      </c>
      <c r="E1667" s="1" t="s">
        <v>1503</v>
      </c>
      <c r="F1667" s="1" t="s">
        <v>17</v>
      </c>
      <c r="G1667" s="4" t="str">
        <f>"07058"</f>
        <v>07058</v>
      </c>
      <c r="H1667" s="1">
        <v>0</v>
      </c>
      <c r="I1667" s="1">
        <v>0</v>
      </c>
      <c r="J1667" s="1">
        <v>0</v>
      </c>
      <c r="K1667" s="1">
        <v>56</v>
      </c>
      <c r="L1667" s="1" t="s">
        <v>5922</v>
      </c>
      <c r="M1667" s="1" t="s">
        <v>4993</v>
      </c>
      <c r="N1667" s="1" t="s">
        <v>13</v>
      </c>
      <c r="O1667" s="1" t="s">
        <v>5923</v>
      </c>
    </row>
    <row r="1668" spans="1:15" x14ac:dyDescent="0.4">
      <c r="A1668" s="1" t="s">
        <v>1311</v>
      </c>
      <c r="B1668" s="1" t="s">
        <v>1309</v>
      </c>
      <c r="C1668" s="1" t="s">
        <v>1313</v>
      </c>
      <c r="D1668" s="1" t="s">
        <v>1314</v>
      </c>
      <c r="E1668" s="1" t="s">
        <v>8018</v>
      </c>
      <c r="F1668" s="1" t="s">
        <v>17</v>
      </c>
      <c r="G1668" s="4" t="str">
        <f>"07075"</f>
        <v>07075</v>
      </c>
      <c r="H1668" s="1">
        <v>0</v>
      </c>
      <c r="I1668" s="1">
        <v>0</v>
      </c>
      <c r="J1668" s="1">
        <v>0</v>
      </c>
      <c r="K1668" s="1">
        <v>0</v>
      </c>
      <c r="L1668" s="1" t="s">
        <v>832</v>
      </c>
      <c r="M1668" s="1" t="s">
        <v>143</v>
      </c>
      <c r="N1668" s="1" t="s">
        <v>13</v>
      </c>
      <c r="O1668" s="1" t="s">
        <v>1312</v>
      </c>
    </row>
    <row r="1669" spans="1:15" x14ac:dyDescent="0.4">
      <c r="A1669" s="1" t="s">
        <v>1315</v>
      </c>
      <c r="B1669" s="1" t="s">
        <v>1309</v>
      </c>
      <c r="C1669" s="1" t="s">
        <v>1318</v>
      </c>
      <c r="D1669" s="1" t="s">
        <v>1310</v>
      </c>
      <c r="E1669" s="1" t="s">
        <v>8018</v>
      </c>
      <c r="F1669" s="1" t="s">
        <v>17</v>
      </c>
      <c r="G1669" s="4" t="str">
        <f>"07075-1207"</f>
        <v>07075-1207</v>
      </c>
      <c r="H1669" s="1">
        <v>0</v>
      </c>
      <c r="I1669" s="1">
        <v>0</v>
      </c>
      <c r="J1669" s="1">
        <v>0</v>
      </c>
      <c r="K1669" s="1">
        <v>0</v>
      </c>
      <c r="L1669" s="1" t="s">
        <v>1316</v>
      </c>
      <c r="M1669" s="1" t="s">
        <v>622</v>
      </c>
      <c r="N1669" s="1" t="s">
        <v>13</v>
      </c>
      <c r="O1669" s="1" t="s">
        <v>1317</v>
      </c>
    </row>
    <row r="1670" spans="1:15" x14ac:dyDescent="0.4">
      <c r="A1670" s="1" t="s">
        <v>4625</v>
      </c>
      <c r="B1670" s="1" t="s">
        <v>4570</v>
      </c>
      <c r="C1670" s="1" t="s">
        <v>4628</v>
      </c>
      <c r="D1670" s="1" t="s">
        <v>4571</v>
      </c>
      <c r="E1670" s="1" t="s">
        <v>4704</v>
      </c>
      <c r="F1670" s="1" t="s">
        <v>17</v>
      </c>
      <c r="G1670" s="4" t="str">
        <f>"08820"</f>
        <v>08820</v>
      </c>
      <c r="H1670" s="1">
        <v>0</v>
      </c>
      <c r="I1670" s="1">
        <v>0</v>
      </c>
      <c r="J1670" s="1">
        <v>0</v>
      </c>
      <c r="K1670" s="1">
        <v>0</v>
      </c>
      <c r="L1670" s="1" t="s">
        <v>38</v>
      </c>
      <c r="M1670" s="1" t="s">
        <v>4626</v>
      </c>
      <c r="N1670" s="1" t="s">
        <v>13</v>
      </c>
      <c r="O1670" s="1" t="s">
        <v>4627</v>
      </c>
    </row>
    <row r="1671" spans="1:15" x14ac:dyDescent="0.4">
      <c r="A1671" s="1" t="s">
        <v>4625</v>
      </c>
      <c r="B1671" s="1" t="s">
        <v>6536</v>
      </c>
      <c r="C1671" s="1" t="s">
        <v>6580</v>
      </c>
      <c r="D1671" s="1" t="s">
        <v>2481</v>
      </c>
      <c r="E1671" s="1" t="s">
        <v>4704</v>
      </c>
      <c r="F1671" s="1" t="s">
        <v>17</v>
      </c>
      <c r="G1671" s="4" t="str">
        <f>"07013"</f>
        <v>07013</v>
      </c>
      <c r="H1671" s="1">
        <v>0</v>
      </c>
      <c r="I1671" s="1">
        <v>0</v>
      </c>
      <c r="J1671" s="1">
        <v>0</v>
      </c>
      <c r="K1671" s="1">
        <v>0</v>
      </c>
      <c r="L1671" s="1" t="s">
        <v>836</v>
      </c>
      <c r="M1671" s="1" t="s">
        <v>6578</v>
      </c>
      <c r="N1671" s="1" t="s">
        <v>13</v>
      </c>
      <c r="O1671" s="1" t="s">
        <v>6579</v>
      </c>
    </row>
    <row r="1672" spans="1:15" x14ac:dyDescent="0.4">
      <c r="A1672" s="1" t="s">
        <v>2873</v>
      </c>
      <c r="B1672" s="1" t="s">
        <v>2867</v>
      </c>
      <c r="C1672" s="1" t="s">
        <v>2876</v>
      </c>
      <c r="D1672" s="1" t="s">
        <v>2877</v>
      </c>
      <c r="E1672" s="1" t="s">
        <v>8023</v>
      </c>
      <c r="F1672" s="1" t="s">
        <v>17</v>
      </c>
      <c r="G1672" s="4" t="str">
        <f>"08302-4261"</f>
        <v>08302-4261</v>
      </c>
      <c r="H1672" s="1">
        <v>0</v>
      </c>
      <c r="I1672" s="1">
        <v>0</v>
      </c>
      <c r="J1672" s="1">
        <v>0</v>
      </c>
      <c r="K1672" s="1">
        <v>0</v>
      </c>
      <c r="L1672" s="1" t="s">
        <v>2874</v>
      </c>
      <c r="M1672" s="1" t="s">
        <v>2036</v>
      </c>
      <c r="N1672" s="1" t="s">
        <v>13</v>
      </c>
      <c r="O1672" s="1" t="s">
        <v>2875</v>
      </c>
    </row>
    <row r="1673" spans="1:15" x14ac:dyDescent="0.4">
      <c r="A1673" s="1" t="s">
        <v>643</v>
      </c>
      <c r="B1673" s="1" t="s">
        <v>636</v>
      </c>
      <c r="C1673" s="1" t="s">
        <v>647</v>
      </c>
      <c r="D1673" s="1" t="s">
        <v>637</v>
      </c>
      <c r="E1673" s="1" t="s">
        <v>8018</v>
      </c>
      <c r="F1673" s="1" t="s">
        <v>17</v>
      </c>
      <c r="G1673" s="4" t="str">
        <f>"07417-2030"</f>
        <v>07417-2030</v>
      </c>
      <c r="H1673" s="1">
        <v>1</v>
      </c>
      <c r="I1673" s="1">
        <v>0.4</v>
      </c>
      <c r="J1673" s="1">
        <v>0</v>
      </c>
      <c r="K1673" s="1">
        <v>30</v>
      </c>
      <c r="L1673" s="1" t="s">
        <v>644</v>
      </c>
      <c r="M1673" s="1" t="s">
        <v>645</v>
      </c>
      <c r="N1673" s="1" t="s">
        <v>13</v>
      </c>
      <c r="O1673" s="1" t="s">
        <v>646</v>
      </c>
    </row>
    <row r="1674" spans="1:15" x14ac:dyDescent="0.4">
      <c r="A1674" s="1" t="s">
        <v>1129</v>
      </c>
      <c r="B1674" s="1" t="s">
        <v>1118</v>
      </c>
      <c r="C1674" s="1" t="s">
        <v>1132</v>
      </c>
      <c r="D1674" s="1" t="s">
        <v>1123</v>
      </c>
      <c r="E1674" s="1" t="s">
        <v>8018</v>
      </c>
      <c r="F1674" s="1" t="s">
        <v>17</v>
      </c>
      <c r="G1674" s="4" t="str">
        <f>"07675-6148"</f>
        <v>07675-6148</v>
      </c>
      <c r="H1674" s="1">
        <v>0</v>
      </c>
      <c r="I1674" s="1">
        <v>0</v>
      </c>
      <c r="J1674" s="1">
        <v>0</v>
      </c>
      <c r="K1674" s="1">
        <v>53</v>
      </c>
      <c r="L1674" s="1" t="s">
        <v>747</v>
      </c>
      <c r="M1674" s="1" t="s">
        <v>1130</v>
      </c>
      <c r="N1674" s="1" t="s">
        <v>13</v>
      </c>
      <c r="O1674" s="1" t="s">
        <v>1131</v>
      </c>
    </row>
    <row r="1675" spans="1:15" x14ac:dyDescent="0.4">
      <c r="A1675" s="1" t="s">
        <v>7036</v>
      </c>
      <c r="B1675" s="1" t="s">
        <v>7032</v>
      </c>
      <c r="C1675" s="1" t="s">
        <v>7039</v>
      </c>
      <c r="D1675" s="1" t="s">
        <v>7027</v>
      </c>
      <c r="E1675" s="1" t="s">
        <v>8029</v>
      </c>
      <c r="F1675" s="1" t="s">
        <v>17</v>
      </c>
      <c r="G1675" s="4" t="str">
        <f>"08098-1392"</f>
        <v>08098-1392</v>
      </c>
      <c r="H1675" s="1">
        <v>0</v>
      </c>
      <c r="I1675" s="1">
        <v>0</v>
      </c>
      <c r="J1675" s="1">
        <v>0</v>
      </c>
      <c r="K1675" s="1">
        <v>0</v>
      </c>
      <c r="L1675" s="1" t="s">
        <v>657</v>
      </c>
      <c r="M1675" s="1" t="s">
        <v>7037</v>
      </c>
      <c r="N1675" s="1" t="s">
        <v>13</v>
      </c>
      <c r="O1675" s="1" t="s">
        <v>7038</v>
      </c>
    </row>
    <row r="1676" spans="1:15" x14ac:dyDescent="0.4">
      <c r="A1676" s="1" t="s">
        <v>7040</v>
      </c>
      <c r="B1676" s="1" t="s">
        <v>7032</v>
      </c>
      <c r="C1676" s="1" t="s">
        <v>7042</v>
      </c>
      <c r="D1676" s="1" t="s">
        <v>7027</v>
      </c>
      <c r="E1676" s="1" t="s">
        <v>8029</v>
      </c>
      <c r="F1676" s="1" t="s">
        <v>17</v>
      </c>
      <c r="G1676" s="4" t="str">
        <f>"08098-1391"</f>
        <v>08098-1391</v>
      </c>
      <c r="H1676" s="1">
        <v>0</v>
      </c>
      <c r="I1676" s="1">
        <v>0</v>
      </c>
      <c r="J1676" s="1">
        <v>0</v>
      </c>
      <c r="K1676" s="1">
        <v>0</v>
      </c>
      <c r="L1676" s="1" t="s">
        <v>272</v>
      </c>
      <c r="M1676" s="1" t="s">
        <v>3786</v>
      </c>
      <c r="N1676" s="1" t="s">
        <v>13</v>
      </c>
      <c r="O1676" s="1" t="s">
        <v>7041</v>
      </c>
    </row>
    <row r="1677" spans="1:15" x14ac:dyDescent="0.4">
      <c r="A1677" s="1" t="s">
        <v>7829</v>
      </c>
      <c r="B1677" s="1" t="s">
        <v>7808</v>
      </c>
      <c r="C1677" s="1" t="s">
        <v>7832</v>
      </c>
      <c r="D1677" s="1" t="s">
        <v>7833</v>
      </c>
      <c r="E1677" s="1" t="s">
        <v>7833</v>
      </c>
      <c r="F1677" s="1" t="s">
        <v>17</v>
      </c>
      <c r="G1677" s="4" t="str">
        <f>"07083"</f>
        <v>07083</v>
      </c>
      <c r="H1677" s="1">
        <v>0</v>
      </c>
      <c r="I1677" s="1">
        <v>0</v>
      </c>
      <c r="J1677" s="1">
        <v>0</v>
      </c>
      <c r="K1677" s="1">
        <v>0</v>
      </c>
      <c r="L1677" s="1" t="s">
        <v>1702</v>
      </c>
      <c r="M1677" s="1" t="s">
        <v>7830</v>
      </c>
      <c r="N1677" s="1" t="s">
        <v>923</v>
      </c>
      <c r="O1677" s="1" t="s">
        <v>7831</v>
      </c>
    </row>
    <row r="1678" spans="1:15" x14ac:dyDescent="0.4">
      <c r="A1678" s="1" t="s">
        <v>3198</v>
      </c>
      <c r="B1678" s="1" t="s">
        <v>3176</v>
      </c>
      <c r="C1678" s="1" t="s">
        <v>3200</v>
      </c>
      <c r="D1678" s="1" t="s">
        <v>3192</v>
      </c>
      <c r="E1678" s="1" t="s">
        <v>8024</v>
      </c>
      <c r="F1678" s="1" t="s">
        <v>17</v>
      </c>
      <c r="G1678" s="4" t="str">
        <f>"07041"</f>
        <v>07041</v>
      </c>
      <c r="H1678" s="1">
        <v>0</v>
      </c>
      <c r="I1678" s="1">
        <v>0</v>
      </c>
      <c r="J1678" s="1">
        <v>0</v>
      </c>
      <c r="K1678" s="1">
        <v>62</v>
      </c>
      <c r="L1678" s="1" t="s">
        <v>304</v>
      </c>
      <c r="M1678" s="1" t="s">
        <v>2952</v>
      </c>
      <c r="N1678" s="1" t="s">
        <v>13</v>
      </c>
      <c r="O1678" s="1" t="s">
        <v>3199</v>
      </c>
    </row>
    <row r="1679" spans="1:15" x14ac:dyDescent="0.4">
      <c r="A1679" s="1" t="s">
        <v>3387</v>
      </c>
      <c r="B1679" s="1" t="s">
        <v>3368</v>
      </c>
      <c r="C1679" s="1" t="s">
        <v>3390</v>
      </c>
      <c r="D1679" s="1" t="s">
        <v>3374</v>
      </c>
      <c r="E1679" s="1" t="s">
        <v>8024</v>
      </c>
      <c r="F1679" s="1" t="s">
        <v>17</v>
      </c>
      <c r="G1679" s="4" t="str">
        <f>"07110"</f>
        <v>07110</v>
      </c>
      <c r="H1679" s="1">
        <v>0</v>
      </c>
      <c r="I1679" s="1">
        <v>0</v>
      </c>
      <c r="J1679" s="1">
        <v>0</v>
      </c>
      <c r="K1679" s="1">
        <v>70</v>
      </c>
      <c r="L1679" s="1" t="s">
        <v>123</v>
      </c>
      <c r="M1679" s="1" t="s">
        <v>3388</v>
      </c>
      <c r="N1679" s="1" t="s">
        <v>13</v>
      </c>
      <c r="O1679" s="1" t="s">
        <v>3389</v>
      </c>
    </row>
    <row r="1680" spans="1:15" x14ac:dyDescent="0.4">
      <c r="A1680" s="1" t="s">
        <v>4317</v>
      </c>
      <c r="B1680" s="1" t="s">
        <v>4235</v>
      </c>
      <c r="C1680" s="1" t="s">
        <v>4320</v>
      </c>
      <c r="D1680" s="1" t="s">
        <v>4239</v>
      </c>
      <c r="E1680" s="1" t="s">
        <v>8026</v>
      </c>
      <c r="F1680" s="1" t="s">
        <v>17</v>
      </c>
      <c r="G1680" s="4" t="str">
        <f>"08620-2502"</f>
        <v>08620-2502</v>
      </c>
      <c r="H1680" s="1">
        <v>0</v>
      </c>
      <c r="I1680" s="1">
        <v>0</v>
      </c>
      <c r="J1680" s="1">
        <v>0</v>
      </c>
      <c r="K1680" s="1">
        <v>38</v>
      </c>
      <c r="L1680" s="1" t="s">
        <v>912</v>
      </c>
      <c r="M1680" s="1" t="s">
        <v>4318</v>
      </c>
      <c r="N1680" s="1" t="s">
        <v>13</v>
      </c>
      <c r="O1680" s="1" t="s">
        <v>4319</v>
      </c>
    </row>
    <row r="1681" spans="1:15" x14ac:dyDescent="0.4">
      <c r="A1681" s="1" t="s">
        <v>8049</v>
      </c>
      <c r="B1681" s="1" t="s">
        <v>6692</v>
      </c>
      <c r="C1681" s="1" t="s">
        <v>6812</v>
      </c>
      <c r="D1681" s="1" t="s">
        <v>1638</v>
      </c>
      <c r="E1681" s="1" t="s">
        <v>2670</v>
      </c>
      <c r="F1681" s="1" t="s">
        <v>17</v>
      </c>
      <c r="G1681" s="4" t="str">
        <f>"07501"</f>
        <v>07501</v>
      </c>
      <c r="H1681" s="1">
        <v>0</v>
      </c>
      <c r="I1681" s="1">
        <v>0</v>
      </c>
      <c r="J1681" s="1">
        <v>0</v>
      </c>
      <c r="K1681" s="1">
        <v>0</v>
      </c>
      <c r="L1681" s="1" t="s">
        <v>395</v>
      </c>
      <c r="M1681" s="1" t="s">
        <v>6810</v>
      </c>
      <c r="N1681" s="1" t="s">
        <v>13</v>
      </c>
      <c r="O1681" s="1" t="s">
        <v>6811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NJPubSchool April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Grace Reef</cp:lastModifiedBy>
  <dcterms:created xsi:type="dcterms:W3CDTF">2025-04-19T21:17:18Z</dcterms:created>
  <dcterms:modified xsi:type="dcterms:W3CDTF">2025-04-20T14:17:39Z</dcterms:modified>
</cp:coreProperties>
</file>